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styles+xml" PartName="/xl/styles.xml"/>
  <Override ContentType="application/vnd.openxmlformats-officedocument.spreadsheetml.sharedStrings+xml" PartName="/xl/sharedStrings.xml"/>
</Types>
</file>

<file path=_rels/.rels><?xml version="1.0" encoding="UTF-8" standalone="yes"?><Relationships xmlns="http://schemas.openxmlformats.org/package/2006/relationships"><Relationship Id="r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bookViews>
  <sheets>
    <sheet name="Products" sheetId="1" r:id="rId1"/>
  </sheets>
  <calcPr fullCalcOnLoad="1"/>
</workbook>
</file>

<file path=xl/sharedStrings.xml><?xml version="1.0" encoding="utf-8"?>
<sst xmlns="http://schemas.openxmlformats.org/spreadsheetml/2006/main" count="5285" uniqueCount="5285">
  <si>
    <t>Product Name</t>
  </si>
  <si>
    <t>Product Name Arabic</t>
  </si>
  <si>
    <t>Product SKU</t>
  </si>
  <si>
    <t>Brand Name</t>
  </si>
  <si>
    <t>Category Name</t>
  </si>
  <si>
    <t>Master Category Name</t>
  </si>
  <si>
    <t>Product Description</t>
  </si>
  <si>
    <t>Product Description Arabic</t>
  </si>
  <si>
    <t>Product Characteristics</t>
  </si>
  <si>
    <t>Product Characteristics Arabic</t>
  </si>
  <si>
    <t>Unit Price</t>
  </si>
  <si>
    <t>Discount</t>
  </si>
  <si>
    <t>Discount Type</t>
  </si>
  <si>
    <t>Quantity</t>
  </si>
  <si>
    <t>Shipping Days</t>
  </si>
  <si>
    <t>Variant Colour</t>
  </si>
  <si>
    <t>Variant Price</t>
  </si>
  <si>
    <t>Variant SKU</t>
  </si>
  <si>
    <t>Variant Quantity</t>
  </si>
  <si>
    <t>Variant Picture</t>
  </si>
  <si>
    <t>Thumbnail Image</t>
  </si>
  <si>
    <t>Gallery Image</t>
  </si>
  <si>
    <t>Active</t>
  </si>
  <si>
    <t>InternalId</t>
  </si>
  <si>
    <t>Universal WC Seat</t>
  </si>
  <si>
    <t xml:space="preserve">اسم </t>
  </si>
  <si>
    <t>110-003R019</t>
  </si>
  <si>
    <t>Vitra</t>
  </si>
  <si>
    <t>Mixers And Accessories</t>
  </si>
  <si>
    <t>Bathroom</t>
  </si>
  <si>
    <t xml:space="preserve">
_x0009_Height (mm) 58
_x0009_Width (mm) 364
_x0009_Depth (mm) 457
_x0009_Color White
_x0009_Designer VitrA Design Team
_x0009_Brand VitrA
_x0009_Finish Standard
_x0009_Soft close Yes
_x0009_Certificate CE, NF
_x0009_Hinge Type Eccentric
_x0009_Thickness Slim
</t>
  </si>
  <si>
    <t>269</t>
  </si>
  <si>
    <t>0</t>
  </si>
  <si>
    <t>Fixed</t>
  </si>
  <si>
    <t>321</t>
  </si>
  <si>
    <t>1</t>
  </si>
  <si>
    <t>GLOSSY WHITE</t>
  </si>
  <si>
    <t>269.00</t>
  </si>
  <si>
    <t>24572</t>
  </si>
  <si>
    <t>White</t>
  </si>
  <si>
    <t>Integra Square Wall-Hung WC</t>
  </si>
  <si>
    <t>7082B003-0075</t>
  </si>
  <si>
    <t xml:space="preserve">
_x0009_Height (mm) 350
_x0009_Width (mm) 365
_x0009_Depth (mm) 540
_x0009_Color White
_x0009_Designer VitrA Design Team
_x0009_Brand VitrA
_x0009_Finish Hygiene
_x0009_Certificate CE
_x0009_Bidet pipe access Without bidet pipe
</t>
  </si>
  <si>
    <t>737</t>
  </si>
  <si>
    <t>994</t>
  </si>
  <si>
    <t>737.00</t>
  </si>
  <si>
    <t>24671</t>
  </si>
  <si>
    <t>Integra Square WC Seat</t>
  </si>
  <si>
    <t>Arabic</t>
  </si>
  <si>
    <t>191-003R009</t>
  </si>
  <si>
    <t xml:space="preserve">
_x0009_Height (mm) 45
_x0009_Width (mm) 370
_x0009_Depth (mm) 447
_x0009_Color White
_x0009_Designer VitrA Design Team
_x0009_Soft close Yes
_x0009_Brand VitrA
_x0009_Finish Standard
_x0009_Certificate CE
_x0009_Hinge Type Eccentric
_x0009_Thickness Slim
</t>
  </si>
  <si>
    <t>364</t>
  </si>
  <si>
    <t>576</t>
  </si>
  <si>
    <t>364.00</t>
  </si>
  <si>
    <t>24670</t>
  </si>
  <si>
    <t>Abdul Sattar Product</t>
  </si>
  <si>
    <t>ProductCode-ASA1</t>
  </si>
  <si>
    <t>Sanitech</t>
  </si>
  <si>
    <t>Bathroom Accessories</t>
  </si>
  <si>
    <t>test</t>
  </si>
  <si>
    <t xml:space="preserve">e
</t>
  </si>
  <si>
    <t>Percentage</t>
  </si>
  <si>
    <t>Metropole Wall-Hung WC</t>
  </si>
  <si>
    <t>7672B003-0075</t>
  </si>
  <si>
    <t xml:space="preserve">
_x0009_Height (mm) 340
_x0009_Width (mm) 360
_x0009_Depth (mm) 560
_x0009_Color White
_x0009_Designer Noa
_x0009_Certificate CE, LGA, NF
_x0009_Awards Good Design, IF Design, Plus X
_x0009_Brand VitrA
_x0009_Finish Hygiene
_x0009_Bidet pipe access Without bidet pipe
</t>
  </si>
  <si>
    <t>1192</t>
  </si>
  <si>
    <t>596</t>
  </si>
  <si>
    <t>107</t>
  </si>
  <si>
    <t>1192.00</t>
  </si>
  <si>
    <t>23293</t>
  </si>
  <si>
    <t>Metropole WC Seat</t>
  </si>
  <si>
    <t>122-003R009</t>
  </si>
  <si>
    <t xml:space="preserve">
_x0009_Height (mm) 20
_x0009_Width (mm) 365
_x0009_Depth (mm) 440
_x0009_Color White
_x0009_Designer Noa
_x0009_Soft close Yes
_x0009_Brand VitrA
_x0009_Finish Standard
_x0009_Hinge Type Eccentric
_x0009_Thickness Slim
</t>
  </si>
  <si>
    <t>327</t>
  </si>
  <si>
    <t>117</t>
  </si>
  <si>
    <t>327.00</t>
  </si>
  <si>
    <t>23911</t>
  </si>
  <si>
    <t>Equal Wall-Hung WC</t>
  </si>
  <si>
    <t>7245B403-0075</t>
  </si>
  <si>
    <t>wcs</t>
  </si>
  <si>
    <t>Bathroom Sanitaryware</t>
  </si>
  <si>
    <t xml:space="preserve">
Height (mm)
335
Width (mm)
395
Depth (mm)
540
Color
White
Designer
Claudio Bellini
Awards
Designer Kitchen and Bathroom, EDIDA Turkey, Good Design, IF Design
Brand
VitrA
Finish
VitraClean
Certificate
CE, UKCA
Bidet pipe access
Without bidet pipe
</t>
  </si>
  <si>
    <t>1736</t>
  </si>
  <si>
    <t>33</t>
  </si>
  <si>
    <t>1736.00</t>
  </si>
  <si>
    <t>22465</t>
  </si>
  <si>
    <t>Equal WC Seat</t>
  </si>
  <si>
    <t>119-003R009</t>
  </si>
  <si>
    <t>wc-seats</t>
  </si>
  <si>
    <t xml:space="preserve">
Height (mm)
55
Width (mm)
394
Depth (mm)
473
Designer
Claudio Bellini
Soft close
Yes
Color
Matt Stone Grey
Awards
Designer Kitchen and Bathroom, EDIDA Turkey, Good Design, IF Design
Brand
VitrA
Finish
Hygiene+Clean
Hinge Type
Eccentric
Thickness
Slim
</t>
  </si>
  <si>
    <t>382</t>
  </si>
  <si>
    <t>382.00</t>
  </si>
  <si>
    <t/>
  </si>
  <si>
    <t>22486</t>
  </si>
  <si>
    <t>Matt Stone Grey</t>
  </si>
  <si>
    <t>S20 Semi-Recessed Washbasin</t>
  </si>
  <si>
    <t>5524B003-0001</t>
  </si>
  <si>
    <t>washbasins</t>
  </si>
  <si>
    <t xml:space="preserve">
Height (mm)
170
Width (mm)
550
Depth (mm)
440
Color
White
Designer
Noa
Certificate
CE
Tap Hole Options
Single Tap Hole
Brand
VitrA
Finish
Hygiene
Overflow Hole
With Overflow
Syphon
Syphon Not Included
</t>
  </si>
  <si>
    <t>475</t>
  </si>
  <si>
    <t>10</t>
  </si>
  <si>
    <t>480</t>
  </si>
  <si>
    <t>24683</t>
  </si>
  <si>
    <t>FRAME</t>
  </si>
  <si>
    <t>5696B470-0041</t>
  </si>
  <si>
    <t>Wash Basins</t>
  </si>
  <si>
    <t>Countertop basin</t>
  </si>
  <si>
    <t xml:space="preserve">WITHOUT CERAMIC WASTE
Frame Tv Shaped Countertop Basin, 57 Cm, With Tap Hole, Without Overflow Hole, Black
Length/Depth :&amp;nbsp;390 mm
Width :&amp;nbsp;570 mm
Height :&amp;nbsp;150 mm
</t>
  </si>
  <si>
    <t>1890</t>
  </si>
  <si>
    <t>17</t>
  </si>
  <si>
    <t>2</t>
  </si>
  <si>
    <t>GLOSSY BLACK</t>
  </si>
  <si>
    <t>20157</t>
  </si>
  <si>
    <t>5798B403-0001</t>
  </si>
  <si>
    <t>Half Monoblock Basin</t>
  </si>
  <si>
    <t xml:space="preserve">WITHOUT CERAMIC WASTE
Frame Half Monoblock Basin,50Cm,With One Tap Hole,With Overflow Hole,White
Length/Depth :&amp;nbsp;480 mm
Width :&amp;nbsp;500 mm
Height :&amp;nbsp;635 mm
</t>
  </si>
  <si>
    <t>3050</t>
  </si>
  <si>
    <t>23256</t>
  </si>
  <si>
    <t>5652B483-0016</t>
  </si>
  <si>
    <t xml:space="preserve">WITHOUT CERAMIC WASTE
Frame Oval Countertop Basin, 56 Cm, Without Tap Hole, Without Overflow Hole, Matte Black
Length/Depth :&amp;nbsp;390 mm&amp;nbsp;
Width :&amp;nbsp;560 mm
Height :&amp;nbsp;150 mm
</t>
  </si>
  <si>
    <t>750</t>
  </si>
  <si>
    <t>Matt black</t>
  </si>
  <si>
    <t>5652B401-0016</t>
  </si>
  <si>
    <t xml:space="preserve">WITHOUT CERAMIC WASTE
Frame Oval Countertop Basin, 56 Cm, Without Tap Hole, Without Overflow Hole, Matte White
Length/Depth :&amp;nbsp;390 mm
Width :&amp;nbsp;560 mm
Height :&amp;nbsp;150 mm
</t>
  </si>
  <si>
    <t>850</t>
  </si>
  <si>
    <t>MATT WHITE</t>
  </si>
  <si>
    <t>5653B470-0016</t>
  </si>
  <si>
    <t xml:space="preserve">WITHOUT CERAMIC WASTE
Frame Tv Shaped Countertop Basin, 57 Cm, Without Tap Hole, Without Overflow Hole, Black
Length/Depth :&amp;nbsp;390 mm
Width :&amp;nbsp;565 mm
Height :&amp;nbsp;150 mm
&amp;nbsp;
</t>
  </si>
  <si>
    <t>900</t>
  </si>
  <si>
    <t>5653B401-0016</t>
  </si>
  <si>
    <t xml:space="preserve">WITHOUT CERAMIC WASTE
Frame Tv Shaped Countertop Basin, 57 Cm, Without Tap Hole, Without Overflow Hole, Matte White
Length/Depth :&amp;nbsp;390 mm
Width :&amp;nbsp;565 mm
Height :&amp;nbsp;150 mm
</t>
  </si>
  <si>
    <t>600</t>
  </si>
  <si>
    <t>5696B483-0041</t>
  </si>
  <si>
    <t xml:space="preserve">WITHOUT CERAMIC WASTE
Frame Tv Shaped Countertop Basin, 57 Cm, With Tap Hole, Without Overflow Hole, Matte Black
Length/Depth :&amp;nbsp;390 mm
Width :&amp;nbsp;570 mm
Height :&amp;nbsp;195 mm
</t>
  </si>
  <si>
    <t>MATT BLACK</t>
  </si>
  <si>
    <t>5653B483-0016</t>
  </si>
  <si>
    <t>Frame Countertop Washbasin</t>
  </si>
  <si>
    <t xml:space="preserve">Frame Countertop Washbasin- Matt Black&amp;nbsp;
&amp;nbsp;
_x0009_Height (mm)150
_x0009_Width (mm)565
_x0009_Depth (mm)390
_x0009_ColorMatt Black
_x0009_DesignerVitrA Design Team
_x0009_Tap Hole OptionsNo tap hole
_x0009_AwardsGood Design, IF Design
_x0009_BrandVitrA
_x0009_FinishHygiene+Clean
_x0009_Overflow HoleWithout Overflow
_x0009_SyphonSyphon Not Included
</t>
  </si>
  <si>
    <t xml:space="preserve">Frame Countertop Washbasin- Matt Black&amp;nbsp;
</t>
  </si>
  <si>
    <t>2090</t>
  </si>
  <si>
    <t>14</t>
  </si>
  <si>
    <t>1230</t>
  </si>
  <si>
    <t>16</t>
  </si>
  <si>
    <t>23567</t>
  </si>
  <si>
    <t>22806</t>
  </si>
  <si>
    <t>21182</t>
  </si>
  <si>
    <t>5652B403-0016</t>
  </si>
  <si>
    <t xml:space="preserve">WITHOUT CERAMIC WASTE
Frame Oval Countertop Basin, 56 Cm, Without Tap Hole, Without Overflow Hole, White
Length/Depth :&amp;nbsp;390 mm
Width :&amp;nbsp;560 mm
Height :&amp;nbsp;150 mm
</t>
  </si>
  <si>
    <t>800</t>
  </si>
  <si>
    <t>5696B403-0041</t>
  </si>
  <si>
    <t xml:space="preserve">WITHOUT CERAMIC WASTE
Frame Tv Shaped Countertop Basin, 57 Cm, With Tap Hole, Without Overflow Hole, White
Length/Depth :&amp;nbsp;390 mm
Width :&amp;nbsp;560 mm
Height :&amp;nbsp;150 mm
</t>
  </si>
  <si>
    <t>500</t>
  </si>
  <si>
    <t>5652B470-0016</t>
  </si>
  <si>
    <t xml:space="preserve">WITHOUT CERAMIC WASTE
Frame Oval Countertop Basin, 56 Cm, Without Tap Hole, Without Overflow Hole, Black
Length/Depth :&amp;nbsp;390 mm
Width :&amp;nbsp;560 mm
Height :&amp;nbsp;150 mm
</t>
  </si>
  <si>
    <t>2160</t>
  </si>
  <si>
    <t>6</t>
  </si>
  <si>
    <t>20922</t>
  </si>
  <si>
    <t>1690</t>
  </si>
  <si>
    <t>20307</t>
  </si>
  <si>
    <t>2140</t>
  </si>
  <si>
    <t>11</t>
  </si>
  <si>
    <t>23427</t>
  </si>
  <si>
    <t>5696B401-0041</t>
  </si>
  <si>
    <t xml:space="preserve">WITHOUT CERAMIC WASTE
Frame Tv Shaped Countertop Basin, 57 Cm, With Tap Hole, Without Overflow Hole, Matte White
Length/Depth :&amp;nbsp;390 mm
Width :&amp;nbsp;570 mm
Height :&amp;nbsp;150 mm
</t>
  </si>
  <si>
    <t>8</t>
  </si>
  <si>
    <t>18764</t>
  </si>
  <si>
    <t>1960</t>
  </si>
  <si>
    <t>22808</t>
  </si>
  <si>
    <t>1400</t>
  </si>
  <si>
    <t>22766</t>
  </si>
  <si>
    <t>OUTLINE</t>
  </si>
  <si>
    <t>5993B420-0016</t>
  </si>
  <si>
    <t>TV BOWL</t>
  </si>
  <si>
    <t xml:space="preserve">Without Tap Hole &amp;amp; Overflow Hole,With Ceramic Waste
Outline Tv Bowl Washbasin Matte Taupe
Length/Depth :&amp;nbsp;410 mm
Width :&amp;nbsp;615 mm
Height :&amp;nbsp;145 mm
</t>
  </si>
  <si>
    <t>700</t>
  </si>
  <si>
    <t>Matt taupe</t>
  </si>
  <si>
    <t>5993B401-0016</t>
  </si>
  <si>
    <t xml:space="preserve">Without Tap Hole &amp;amp; Overflow Hole,With Ceramic Waste
Outline Tv Bowl Washbasin, Matt White
Length/Depth :&amp;nbsp;405 mm
Width :&amp;nbsp;615 mm
Height :&amp;nbsp;145 mm
</t>
  </si>
  <si>
    <t>5991B403-0016</t>
  </si>
  <si>
    <t>PEBBLE BOWL</t>
  </si>
  <si>
    <t xml:space="preserve">Without Tap Hole &amp;amp; Overflow Hole,With Ceramic Waste
Outline Pebble Bowl Washbasin, White
Length/Depth :&amp;nbsp;430 mm
Width :&amp;nbsp;550 mm
Height :&amp;nbsp;145 mm
</t>
  </si>
  <si>
    <t>5994B403-0016</t>
  </si>
  <si>
    <t>SQUARE BOWL</t>
  </si>
  <si>
    <t xml:space="preserve">Without Tap Hole &amp;amp; Overflow Hole,With Ceramic Waste
Outline Square Bowl Washbasin, White
Length/Depth :&amp;nbsp;405 mm
Width :&amp;nbsp;460 mm
Height :&amp;nbsp;145 mm
</t>
  </si>
  <si>
    <t>5991B420-0016</t>
  </si>
  <si>
    <t xml:space="preserve">Without Tap Hole &amp;amp; Overflow Hole,With Ceramic Waste
Outline Pebble Bowl Washbasin,Matte Taupe
Length/Depth :&amp;nbsp;430 mm
Width :&amp;nbsp;550 mm
Height :&amp;nbsp;145 mm
</t>
  </si>
  <si>
    <t>5992B403-0016</t>
  </si>
  <si>
    <t>ROUND BOWL</t>
  </si>
  <si>
    <t xml:space="preserve">Without Tap Hole &amp;amp; Overflow Hole,With Ceramic Waste
Outline Round Bowl Cerafine, 40 cm Without tap hole, without overflow hole, White
Length/Depth :&amp;nbsp;395 mm
Width :&amp;nbsp;395 mm
Height :&amp;nbsp;145 mm
</t>
  </si>
  <si>
    <t>5991B401-0016</t>
  </si>
  <si>
    <t xml:space="preserve">Without Tap Hole &amp;amp; Overflow Hole,With Ceramic Waste
Outline Pebble Bowl Washbasin,Matte White
Length/Depth :&amp;nbsp;430 mm
Width :&amp;nbsp;550 mm&amp;nbsp;
Height :&amp;nbsp;145 mm
</t>
  </si>
  <si>
    <t>5994B420-0016</t>
  </si>
  <si>
    <t xml:space="preserve">Without Tap Hole &amp;amp; Overflow Hole,With Ceramic Waste
Outline Square Bowl Washbasin, Matt beige
Length/Depth :&amp;nbsp;405 mm
Width :&amp;nbsp;465 mm
Height :&amp;nbsp;145 mm
</t>
  </si>
  <si>
    <t>MATT BEIGE</t>
  </si>
  <si>
    <t>5992B420-0016</t>
  </si>
  <si>
    <t xml:space="preserve">Without Tap Hole &amp;amp; Overflow Hole,With Ceramic Waste
Outline Round Bowl Cerafine, 40 cm, Without tap hole, without overflow hole Matte taupe
Length/Depth :&amp;nbsp;395 mm
Width :&amp;nbsp;395 mm
Height :&amp;nbsp;145 mm
</t>
  </si>
  <si>
    <t>5995B483-0016</t>
  </si>
  <si>
    <t>OVAL BOWL</t>
  </si>
  <si>
    <t xml:space="preserve">Without Tap Hole &amp;amp; Overflow Hole,With Ceramic Waste
Outline Oval Bowl Washbasin, Matt Black
Length/Depth :&amp;nbsp;400 mm
Width :&amp;nbsp;580 mm
Height :&amp;nbsp;145 mm
&amp;nbsp;
&amp;nbsp;
</t>
  </si>
  <si>
    <t>5994B401-0016</t>
  </si>
  <si>
    <t xml:space="preserve">Without Tap Hole &amp;amp; Overflow Hole,With Ceramic Waste
Outline Square Bowl Washbasin Matte White
Length/Depth :&amp;nbsp;405 mm
Width :&amp;nbsp;460 mm
Height :&amp;nbsp;145 mm
</t>
  </si>
  <si>
    <t>1930</t>
  </si>
  <si>
    <t>7</t>
  </si>
  <si>
    <t>Matt Taupe</t>
  </si>
  <si>
    <t>2170</t>
  </si>
  <si>
    <t>18</t>
  </si>
  <si>
    <t>19954</t>
  </si>
  <si>
    <t>21519</t>
  </si>
  <si>
    <t>1620</t>
  </si>
  <si>
    <t>29</t>
  </si>
  <si>
    <t>22827</t>
  </si>
  <si>
    <t>5992B483-0016</t>
  </si>
  <si>
    <t xml:space="preserve">Without Tap Hole &amp;amp; Overflow Hole,With Ceramic Waste
Outline Round Bowl Washbasin, Matt Black
Length/Depth :&amp;nbsp;395 mm
Width :&amp;nbsp;395 mm
Height :&amp;nbsp;145 mm
</t>
  </si>
  <si>
    <t>5995B403-0016</t>
  </si>
  <si>
    <t xml:space="preserve">Without Tap Hole &amp;amp; Overflow Hole,With Ceramic Waste
Outline Oval Bowl Washbasin, White
Length/Depth :&amp;nbsp;400 mm
Width :&amp;nbsp;580 mm
Height :&amp;nbsp;145 mm
</t>
  </si>
  <si>
    <t>5993B483-0016</t>
  </si>
  <si>
    <t xml:space="preserve">Without Tap Hole &amp;amp; Overflow Hole,With Ceramic Waste
Outline Tv Bowl Washbasin, Matt Black
Length/Depth :&amp;nbsp;410 mm
Width :&amp;nbsp;615 mm
Height :&amp;nbsp;145 mm
</t>
  </si>
  <si>
    <t>2450</t>
  </si>
  <si>
    <t>21</t>
  </si>
  <si>
    <t>45</t>
  </si>
  <si>
    <t>23462</t>
  </si>
  <si>
    <t>22826</t>
  </si>
  <si>
    <t>2150</t>
  </si>
  <si>
    <t>42</t>
  </si>
  <si>
    <t>19939</t>
  </si>
  <si>
    <t>5995B401-0016</t>
  </si>
  <si>
    <t xml:space="preserve">Without Tap Hole &amp;amp; Overflow Hole,With Ceramic Waste
Outline Oval Bowl Washbasin Matt White
Length/Depth :&amp;nbsp;400 mm
Width :&amp;nbsp;580 mm
Height :&amp;nbsp;145 mm
</t>
  </si>
  <si>
    <t>5992B401-0016</t>
  </si>
  <si>
    <t xml:space="preserve">Without Tap Hole &amp;amp; Overflow Hole,With Ceramic Waste
Outline Round Bowl Cerafine, 40 cm Without tap hole, without overflow hole Matte white
Length/Depth :&amp;nbsp;395 mm
Width :&amp;nbsp;395 mm
Height :&amp;nbsp;145 mm
</t>
  </si>
  <si>
    <t>1870</t>
  </si>
  <si>
    <t>22823</t>
  </si>
  <si>
    <t>22821</t>
  </si>
  <si>
    <t>22</t>
  </si>
  <si>
    <t>23290</t>
  </si>
  <si>
    <t>1640</t>
  </si>
  <si>
    <t>22822</t>
  </si>
  <si>
    <t>5995B420-0016</t>
  </si>
  <si>
    <t xml:space="preserve">Without Tap Hole &amp;amp; Overflow Hole,With Ceramic Waste
Outline Oval Bowl Washbasin, Matt Beige
Length/Depth :&amp;nbsp;400 mm
Width :&amp;nbsp;580 mm
Height :&amp;nbsp;145 mm
</t>
  </si>
  <si>
    <t>5991B483-0016</t>
  </si>
  <si>
    <t xml:space="preserve">Without Tap Hole &amp;amp; Overflow Hole,With Ceramic Waste
Outline Pebble Bowl Washbasin Matt Black
Length/Depth :430 mm
Width :&amp;nbsp;550 mm
Height :&amp;nbsp;145 mm
</t>
  </si>
  <si>
    <t>5991B476-0016</t>
  </si>
  <si>
    <t xml:space="preserve">Without Tap Hole &amp;amp; Overflow Hole,With Ceramic Waste
Outline Pebble bowl washbasin 55 cm Matt stone grey
Length/Depth : 440 mm
Width : 560 mm
Height : 145 mm
</t>
  </si>
  <si>
    <t>2970</t>
  </si>
  <si>
    <t>13</t>
  </si>
  <si>
    <t>2480</t>
  </si>
  <si>
    <t>30</t>
  </si>
  <si>
    <t>22820</t>
  </si>
  <si>
    <t>MATT STONE GREY</t>
  </si>
  <si>
    <t>29072</t>
  </si>
  <si>
    <t>2570</t>
  </si>
  <si>
    <t>22819</t>
  </si>
  <si>
    <t>2790</t>
  </si>
  <si>
    <t>21196</t>
  </si>
  <si>
    <t>1650</t>
  </si>
  <si>
    <t>27</t>
  </si>
  <si>
    <t>21195</t>
  </si>
  <si>
    <t>5992B476-0016</t>
  </si>
  <si>
    <t xml:space="preserve">Without Tap Hole &amp;amp; Overflow Hole,With Ceramic Waste
Outline Round bowl washbasin 40 cm Matt stone grey
Length/Depth :&amp;nbsp;430 mm
Width :&amp;nbsp;550 mm
Height :&amp;nbsp;145 mm
</t>
  </si>
  <si>
    <t>5995B476-0016</t>
  </si>
  <si>
    <t xml:space="preserve">Without Tap Hole &amp;amp; Overflow Hole,With Ceramic Waste
Outline Square bowl washbasin 60 cm Matt stone grey
Length/Depth :&amp;nbsp;400 mm
Width :&amp;nbsp;580 mm
Height :&amp;nbsp;145 mm
</t>
  </si>
  <si>
    <t>2840</t>
  </si>
  <si>
    <t>28875</t>
  </si>
  <si>
    <t>22831</t>
  </si>
  <si>
    <t>2430</t>
  </si>
  <si>
    <t>22829</t>
  </si>
  <si>
    <t>2770</t>
  </si>
  <si>
    <t>25</t>
  </si>
  <si>
    <t>23239</t>
  </si>
  <si>
    <t>1830</t>
  </si>
  <si>
    <t>50</t>
  </si>
  <si>
    <t>22830</t>
  </si>
  <si>
    <t>5993B476-0016</t>
  </si>
  <si>
    <t xml:space="preserve">Without Tap Hole &amp;amp; Overflow Hole,With Ceramic Waste
Outline TV Bowl Washbasin Matte Stone Grey
Length/Depth :&amp;nbsp;425 mm
Width :&amp;nbsp;625 mm
Height :&amp;nbsp;145 mm
</t>
  </si>
  <si>
    <t>29206</t>
  </si>
  <si>
    <t>5992B450-0016</t>
  </si>
  <si>
    <t xml:space="preserve">Without Tap Hole &amp;amp; Overflow Hole,With Ceramic Waste
Outline Round Bowl Washbasin
Length/Depth :&amp;nbsp;395 mm
Width :&amp;nbsp;395 mm
Height :&amp;nbsp;145 mm
</t>
  </si>
  <si>
    <t>4</t>
  </si>
  <si>
    <t>MATT MINK</t>
  </si>
  <si>
    <t>23317</t>
  </si>
  <si>
    <t>2440</t>
  </si>
  <si>
    <t>12</t>
  </si>
  <si>
    <t>29032</t>
  </si>
  <si>
    <t>NUO</t>
  </si>
  <si>
    <t>7436B003-0012</t>
  </si>
  <si>
    <t>RECTANGULAR BOWL</t>
  </si>
  <si>
    <t xml:space="preserve">WITHOUT CERAMIC WASTE
Nuo Square bowl, 50 cm Without tap, with overflow hole, White
Length/Depth :&amp;nbsp;380 mm
Width :&amp;nbsp;500 mm
Height :&amp;nbsp;155 mm
</t>
  </si>
  <si>
    <t>620</t>
  </si>
  <si>
    <t>310</t>
  </si>
  <si>
    <t>24095</t>
  </si>
  <si>
    <t>7433B003-0001</t>
  </si>
  <si>
    <t>SEMI RECESSED WASH BASIN</t>
  </si>
  <si>
    <t xml:space="preserve">WITHOUT CERAMIC WASTE
Nuo Semi-recessed basin, 55 cm
Length/Depth :&amp;nbsp;440 mm
Width :&amp;nbsp;550 mm
Height :&amp;nbsp;150 mm
</t>
  </si>
  <si>
    <t>910</t>
  </si>
  <si>
    <t>200</t>
  </si>
  <si>
    <t>24097</t>
  </si>
  <si>
    <t>7431B003-0001</t>
  </si>
  <si>
    <t xml:space="preserve">WITHOUT CERAMIC WASTE
Nuo Bowl Basin 50cm White (Back side not Glazed)
Length/Depth :&amp;nbsp;440 mm
Width :&amp;nbsp;500 mm
Height :&amp;nbsp;125mm
</t>
  </si>
  <si>
    <t>90</t>
  </si>
  <si>
    <t>24109</t>
  </si>
  <si>
    <t>7435B003-0631</t>
  </si>
  <si>
    <t xml:space="preserve">WITHOUT CERAMIC WASTE
Nuo Compact washbasin, 60 cm With tap hole, with overflow hole, back side glazed, for countertop use
Length/Depth :&amp;nbsp;400 mm
Width :&amp;nbsp;600 mm
Height :&amp;nbsp;125 mm
</t>
  </si>
  <si>
    <t>690</t>
  </si>
  <si>
    <t>24</t>
  </si>
  <si>
    <t>23633</t>
  </si>
  <si>
    <t>GEO</t>
  </si>
  <si>
    <t>7425B003-0016</t>
  </si>
  <si>
    <t xml:space="preserve">WITHOUT CERAMIC WASTE
Geo Soft-square bowl, 60 cm W/O Tap and Overflow Hole
Length/Depth :&amp;nbsp;400 mm
Width :&amp;nbsp;600 mm
Height :&amp;nbsp;170 mm
</t>
  </si>
  <si>
    <t>29188</t>
  </si>
  <si>
    <t>5994B483-0016</t>
  </si>
  <si>
    <t xml:space="preserve">Without Tap Hole &amp;amp; Overflow Hole,With Ceramic Waste
Outline Square Bowl Washbasin, Matt Black
Length/Depth :&amp;nbsp;405 mm
Width :&amp;nbsp;465 mm
Height :&amp;nbsp;145 mm
</t>
  </si>
  <si>
    <t>2190</t>
  </si>
  <si>
    <t>23187</t>
  </si>
  <si>
    <t>INTEGRA</t>
  </si>
  <si>
    <t>انتيغرا</t>
  </si>
  <si>
    <t>7041B003-0076</t>
  </si>
  <si>
    <t>Toilet</t>
  </si>
  <si>
    <t>Round</t>
  </si>
  <si>
    <t>دائري</t>
  </si>
  <si>
    <t xml:space="preserve">Integra Rim-Ex Wall-Hung Wc Pan Hidden Fixation, Without Seat Cover, 54 cm, Glossy&amp;nbsp; White
Length/Depth : 545 mm
Width : 355 mm
Height : 340 mm
</t>
  </si>
  <si>
    <t xml:space="preserve">&amp;nbsp;
&amp;nbsp;
مرحاض انتيغرا معلق بدون حواف ابيص 54 سم
</t>
  </si>
  <si>
    <t>7041B003-0075</t>
  </si>
  <si>
    <t>PLURAL</t>
  </si>
  <si>
    <t>65852</t>
  </si>
  <si>
    <t>Furniture</t>
  </si>
  <si>
    <t>Rotating Mirror</t>
  </si>
  <si>
    <t xml:space="preserve">Plural Rotating Mirror, 35 cm, Black Oak Solid Wood without light
Length/Depth : 251 mm
Width : 372 mm
Height : 900 mm
</t>
  </si>
  <si>
    <t>4610</t>
  </si>
  <si>
    <t>Black</t>
  </si>
  <si>
    <t>24356</t>
  </si>
  <si>
    <t>62580</t>
  </si>
  <si>
    <t xml:space="preserve">Plural Ceramic Counter, 100 cm - Right Tap Hole, Without Washbasin
Length/Depth : 612 mm
Width : 1032 mm
Height : 733 mm
</t>
  </si>
  <si>
    <t xml:space="preserve">Plural Ceramic Counter, 100 cm - Right Tap Hole ,Without Washbasin
Length/Depth : 612 mm
Width : 1032 mm
Height : 733 mm
</t>
  </si>
  <si>
    <t>5600</t>
  </si>
  <si>
    <t>24347</t>
  </si>
  <si>
    <t>62570</t>
  </si>
  <si>
    <t xml:space="preserve">Plural Ceramic Counter, 100 cm Left tap hole, Without Washbasin, White
Lenght/Depth : 612 mm
Width : 1032 mm
Height : 733 mm
</t>
  </si>
  <si>
    <t>5570</t>
  </si>
  <si>
    <t>5</t>
  </si>
  <si>
    <t>24345</t>
  </si>
  <si>
    <t>64043</t>
  </si>
  <si>
    <t>Double Wood Counter</t>
  </si>
  <si>
    <t xml:space="preserve">Plural Big counter, 160 cm, double Dark Oak Solid Wood, Without Washbasin
Length/Depth : 662 mm
Width : 1616 mm
Height : 704 mm
</t>
  </si>
  <si>
    <t>13480</t>
  </si>
  <si>
    <t>Wooden</t>
  </si>
  <si>
    <t>24207</t>
  </si>
  <si>
    <t>62582</t>
  </si>
  <si>
    <t>Ceramic Counter, Right Tap Hole</t>
  </si>
  <si>
    <t xml:space="preserve">Plural Ceramic counter, 100 cm Right tap hole, Without Washbasin, Matt Black
Length/Depth : 612 mm
Width : 1032 mm
Height : 733 mm
</t>
  </si>
  <si>
    <t>6270</t>
  </si>
  <si>
    <t>3</t>
  </si>
  <si>
    <t>24348</t>
  </si>
  <si>
    <t>62572</t>
  </si>
  <si>
    <t>Ceramic Counter, Left tap Hole</t>
  </si>
  <si>
    <t xml:space="preserve">Plural Ceramic counter, 100 cm Left tap hole, Without Washbasin, Matt Black
Length/Depth : 612 mm
Width : 1032 mm
Height :&amp;nbsp; 733 mm
&amp;nbsp;
</t>
  </si>
  <si>
    <t xml:space="preserve">Plural Ceramic counter, 100 cm Left tap hole, Without Washbasin, Matt Black
Length/Depth : 612 mm
Width : 1032 mm
Height :&amp;nbsp; 733 mm
</t>
  </si>
  <si>
    <t>7160</t>
  </si>
  <si>
    <t>23544</t>
  </si>
  <si>
    <t>64049</t>
  </si>
  <si>
    <t>Free Standing Counter</t>
  </si>
  <si>
    <t xml:space="preserve">Plural Free-standing washbasin unit, 70 cm, low, Without Washbasin - White
Length/Depth : 530 mm
Width : 700 mm
Height: 660 mm
</t>
  </si>
  <si>
    <t>3080</t>
  </si>
  <si>
    <t>3960</t>
  </si>
  <si>
    <t>64051</t>
  </si>
  <si>
    <t>24349</t>
  </si>
  <si>
    <t>22834</t>
  </si>
  <si>
    <t xml:space="preserve">Plural Free-standing washbasin unit, 70 cm, low, Without Washbasin&amp;nbsp;- Matt Black
Length/Depth : 530 mm
Width: 700 mm
Height : 660 mm
</t>
  </si>
  <si>
    <t>64044</t>
  </si>
  <si>
    <t>Washbasin Unit</t>
  </si>
  <si>
    <t xml:space="preserve">Plural Washbasin unit, 100 cm 1 tap hole Dark oak, with white washbasin Solid wood
Length/Depth :550 mm
Width : 1000 mm
Height : 845 mm
</t>
  </si>
  <si>
    <t>6640</t>
  </si>
  <si>
    <t>64047</t>
  </si>
  <si>
    <t>24467</t>
  </si>
  <si>
    <t xml:space="preserve">Plural Dark oak, with matte taupe washbasin Solid Wood
Length/Depth : 550 mm
Width : 700 mm
Height : 845 mm
</t>
  </si>
  <si>
    <t>5900</t>
  </si>
  <si>
    <t>64046</t>
  </si>
  <si>
    <t xml:space="preserve">Plural Washbasin unit, 100 cm 1 tap hole Dark oak, with Matte Black Washbasin Solid wood
Length/Depth : 550 mm
Width : 1000 mm
Height : 845 mm&amp;nbsp;
</t>
  </si>
  <si>
    <t>7700</t>
  </si>
  <si>
    <t>64062</t>
  </si>
  <si>
    <t>Shelf</t>
  </si>
  <si>
    <t xml:space="preserve">Plural Long Shelf, 75 cm, with Metal Towel Holder Dark oak / Left
Length/Depth : 180 mm&amp;nbsp;
Width : 750 mm
Height : 100 mm
</t>
  </si>
  <si>
    <t>2200</t>
  </si>
  <si>
    <t>24228</t>
  </si>
  <si>
    <t>64066</t>
  </si>
  <si>
    <t>Table</t>
  </si>
  <si>
    <t xml:space="preserve">Plural Small Table, 55 cm, Dark Oak with Black Ceramic Top
Length/Depth : 416 mm
Width : 567 mm
Height : 590 mm
</t>
  </si>
  <si>
    <t>6020</t>
  </si>
  <si>
    <t>Dark Oak</t>
  </si>
  <si>
    <t>6100</t>
  </si>
  <si>
    <t>24350</t>
  </si>
  <si>
    <t>64064</t>
  </si>
  <si>
    <t xml:space="preserve">Plural Small Table, 55 cm, Dark Oak with White Ceramic Top
Length/Depth : 416 mm&amp;nbsp;
Width: 567 mm
Height : 590 mm
</t>
  </si>
  <si>
    <t>6300</t>
  </si>
  <si>
    <t>7812B483-0016</t>
  </si>
  <si>
    <t>Triangular Bowl</t>
  </si>
  <si>
    <t xml:space="preserve">Plural Triangular low bowl, 47 cm Without tap hole, without overflow hole, Matte Black
Length/Depth : 400 mm
Width : 470 mm
Height : 135 mm
</t>
  </si>
  <si>
    <t>2100</t>
  </si>
  <si>
    <t>7812B403-0016</t>
  </si>
  <si>
    <t xml:space="preserve">Plural Triangular low bowl, 47 cm Without tap hole, without overflow hole, White
Length/Depth : 400 mm
Width : 470 mm
Height : 135 mm
&amp;nbsp;
</t>
  </si>
  <si>
    <t>1540</t>
  </si>
  <si>
    <t>2180</t>
  </si>
  <si>
    <t>7812B420-0016</t>
  </si>
  <si>
    <t>23976</t>
  </si>
  <si>
    <t>1050</t>
  </si>
  <si>
    <t>7812B450-0016</t>
  </si>
  <si>
    <t>9</t>
  </si>
  <si>
    <t>22157</t>
  </si>
  <si>
    <t>7812B401-0016</t>
  </si>
  <si>
    <t>21225</t>
  </si>
  <si>
    <t>2050</t>
  </si>
  <si>
    <t>28</t>
  </si>
  <si>
    <t>23657</t>
  </si>
  <si>
    <t>23979</t>
  </si>
  <si>
    <t xml:space="preserve">Plural Triangular low bowl, 47 cm Without tap hole, without overflow hole, Matte Taupe
Length/Depth : 400 mm
Width :&amp;nbsp;470 mm
Height : 135 mm
&amp;nbsp;
</t>
  </si>
  <si>
    <t xml:space="preserve">Plural Triangular low bowl, 47 cm Without tap hole, without overflow hole, Matte Taupe
Length/Depth : 400 mm
Width :&amp;nbsp;470 mm
Height : 135 mm
</t>
  </si>
  <si>
    <t xml:space="preserve">Plural Triangular low bowl, 47 cm Without tap hole, without overflow hole, Matte white
Length/Depth : 400 mm
Width : 470 mm
Height : 135 mm
</t>
  </si>
  <si>
    <t xml:space="preserve">Plural Triangular low bowl, 47 cm Without tap hole, without overflow hole, Matte Mink
Length/ Depth : 400 mm
Width : 470 mm
Height : 135 mm
</t>
  </si>
  <si>
    <t>7810B483-0016</t>
  </si>
  <si>
    <t>Square Low Bowl</t>
  </si>
  <si>
    <t xml:space="preserve">Plural Square low bowl,45 cm without tap hole, without overflow hole, Matt Black
length/Depth : 380 mm
Width : 450 mm
Heigth : 135 mm
</t>
  </si>
  <si>
    <t>7810B401-0016</t>
  </si>
  <si>
    <t xml:space="preserve">Plural Square low bowl,45 cm without tap hole, without overflow hole, Matt White
Length/Depth : 380 mm
Width : 450 mm
Height : 135 mm
</t>
  </si>
  <si>
    <t>1900</t>
  </si>
  <si>
    <t>23648</t>
  </si>
  <si>
    <t>23653</t>
  </si>
  <si>
    <t>7811B403-0016</t>
  </si>
  <si>
    <t>Square High Bowl</t>
  </si>
  <si>
    <t xml:space="preserve">Plural Square high bowl, 45 cm white&amp;nbsp; without tap hole, without overflow hole Glossy White
Length/Depth : 380 mm
Width : 450 mm
Height : 215 mm
</t>
  </si>
  <si>
    <t>1800</t>
  </si>
  <si>
    <t>7811B401-0016</t>
  </si>
  <si>
    <t xml:space="preserve">Plural Square high bowl, 45 cm Without tap hole, without overflow hole, Matt White
Length/Depth : 380 mm
Width : 450 mm
Height : 215 mm
</t>
  </si>
  <si>
    <t>7811B483-0016</t>
  </si>
  <si>
    <t xml:space="preserve">Plural Square high bowl, 45 cm Without tap hole, without overflow hole, Matt Black
Length/Depth : 380 mm
Width : 450 mm
Height : 215&amp;nbsp;mm
</t>
  </si>
  <si>
    <t>2320</t>
  </si>
  <si>
    <t>7811B420-0016</t>
  </si>
  <si>
    <t>24481</t>
  </si>
  <si>
    <t>23461</t>
  </si>
  <si>
    <t>7811b483-0016</t>
  </si>
  <si>
    <t>1790</t>
  </si>
  <si>
    <t>23654</t>
  </si>
  <si>
    <t>7811B474-0016</t>
  </si>
  <si>
    <t xml:space="preserve">Plural Square high bowl, 45 cm Without tap hole, without overflow hole, Matt Clay Beige
Length/Depth : 380 mm
Width : 450 mm
Height&amp;nbsp;: 215 mm
</t>
  </si>
  <si>
    <t>2500</t>
  </si>
  <si>
    <t xml:space="preserve">Plural Square high bowl, 45 cm Without tap hole, without overflow hole, Matt Taupe
Length/Depth : 380 mm
Width : 450 mm
Height : 215 mm
</t>
  </si>
  <si>
    <t>7810B483-1083</t>
  </si>
  <si>
    <t>Undercounter Wash Basin</t>
  </si>
  <si>
    <t xml:space="preserve">Plural Square undercounter basin, 45 cm Matte Black
Length/Depth : 380 mm
Width : 450 mm
Height : 135 mm
</t>
  </si>
  <si>
    <t>7810B420-1083</t>
  </si>
  <si>
    <t xml:space="preserve">Plural Square undercounter basin, 45 cm, Matte Taupe
Length/Depth : 380 mm
Width : 450 mm
Height : 135 mm
</t>
  </si>
  <si>
    <t>1600</t>
  </si>
  <si>
    <t>7810B401-1083</t>
  </si>
  <si>
    <t>1760</t>
  </si>
  <si>
    <t>23649</t>
  </si>
  <si>
    <t>1710</t>
  </si>
  <si>
    <t>23426</t>
  </si>
  <si>
    <t>7812B420-1083</t>
  </si>
  <si>
    <t>Undercounter Triangular Wash Basin</t>
  </si>
  <si>
    <t xml:space="preserve">Plural Triangular undercounter basin, 47 cm, without tap hole and overflow hole, Matte Taupe
Length/Depth : 400 mm
Width : 470 mm
Height : 135 mm
</t>
  </si>
  <si>
    <t>2000</t>
  </si>
  <si>
    <t>23651</t>
  </si>
  <si>
    <t>7814B401-0001</t>
  </si>
  <si>
    <t>Free Standing Wash Basin</t>
  </si>
  <si>
    <t xml:space="preserve">Plural Square low bowl,45 cm without tap hole, without overflow hole with ceramic waste,&amp;nbsp;Matt White
Length/Depth : 525 mm
Width : 485 mm
Height : 850 mm
</t>
  </si>
  <si>
    <t>6000</t>
  </si>
  <si>
    <t>7814B420-0001</t>
  </si>
  <si>
    <t>Freestanding Wash Basin</t>
  </si>
  <si>
    <t xml:space="preserve">Plural Monoblock Washbasin, 50 cm Matt Taupe, with Tap Hole, with Overflow Hole with ceramic waste, Matt Taupe
Length/Depth : 525 mm
Width : 485 mm
Height : 850 mm
</t>
  </si>
  <si>
    <t>7814B403-0001</t>
  </si>
  <si>
    <t xml:space="preserve">Plural Monoblock Washbasin, 50 cm White, with Tap Hole, with Overflow Hole with ceramic waste, Glossy White
Length/Depth : 525 mm
Width : 485 mm
Height : 850 mm
</t>
  </si>
  <si>
    <t>5000</t>
  </si>
  <si>
    <t>7814B483-0001</t>
  </si>
  <si>
    <t xml:space="preserve">Plural Monoblock Washbasin, 50 cm Matt Black, with Tap Hole, with Overflow Hole with ceramic waste, Matt Black
Length/Depth : 525 mm
Width : 485 mm
Height : 850 mm
</t>
  </si>
  <si>
    <t>5920</t>
  </si>
  <si>
    <t>29035</t>
  </si>
  <si>
    <t>5950</t>
  </si>
  <si>
    <t>23658</t>
  </si>
  <si>
    <t>23890</t>
  </si>
  <si>
    <t>Venezia</t>
  </si>
  <si>
    <t>BOCC-1119-004-0125</t>
  </si>
  <si>
    <t>BOCCHI</t>
  </si>
  <si>
    <t>Round Bowl</t>
  </si>
  <si>
    <t xml:space="preserve">Venezia - Roma Bowl Washbasin w/out Tap &amp;amp; Overflow Hole 45 cm, suitable with pop-up, Matt Black
Length/Depth : 450 mm
Width : 450 mm
Height : 175 mm
Weight : 10.60 kg
</t>
  </si>
  <si>
    <t>980</t>
  </si>
  <si>
    <t>BOCC-1119-006-0125</t>
  </si>
  <si>
    <t xml:space="preserve">Venezia - Roma Bowl Washbasin w/out Tap &amp;amp; Overflow Hole 45 cm, suitable with pop-up, Matt Grey
Length/Depth : 450 mm
Width : 450 mm
Height : 175 mm
Weight : 10.60 kg
</t>
  </si>
  <si>
    <t>970</t>
  </si>
  <si>
    <t>28988</t>
  </si>
  <si>
    <t>28987</t>
  </si>
  <si>
    <t>Sottile</t>
  </si>
  <si>
    <t>BOCC-1476-002-0125</t>
  </si>
  <si>
    <t>Countertop Washbasin</t>
  </si>
  <si>
    <t xml:space="preserve">Sottile - Washbasin 55x38 cm Matt White
Length/Depth : 372&amp;nbsp;mm
Width : 548 mm
Height : 115 mm
Weight : 8.22 kg
</t>
  </si>
  <si>
    <t>1000</t>
  </si>
  <si>
    <t>BOCC-1476-004-0125</t>
  </si>
  <si>
    <t xml:space="preserve">Sottile - Washbasin 55x38 cm Matt Black
Length/Depth : 372 mm
Width : 548 mm
Height : 115 mm
Weight : 8.22 kg
</t>
  </si>
  <si>
    <t>1100</t>
  </si>
  <si>
    <t>BOCC-1477-002-0125</t>
  </si>
  <si>
    <t xml:space="preserve">Sottile - Washbasin 38x38 cm Matt White
Length/Depth : 388 mm
Width : 388 mm
Height : 118 mm
Weight : 21.51 kg
</t>
  </si>
  <si>
    <t>BOCC-1477-006-0125</t>
  </si>
  <si>
    <t xml:space="preserve">Sottile - Washbasin 38x38 cm, Matt Grey
Length/Depth : 388 mm
Width : 388 mm
Height : 118 mm
Weight : 21.51 kg
</t>
  </si>
  <si>
    <t>BOCC- 1477-033-0125</t>
  </si>
  <si>
    <t xml:space="preserve">Sottile - Washbasin 38x38 cm, Matt Mint Green
Length/Depth : 388 mm
Width : 388 mm
Height : 118 mm
Weight : 21.51 kg
</t>
  </si>
  <si>
    <t>Mint Green</t>
  </si>
  <si>
    <t>BOCC- 1477-002-0125</t>
  </si>
  <si>
    <t>BOCC- 1476-001-0125</t>
  </si>
  <si>
    <t xml:space="preserve">Sottile - Washbasin 55x38 cm Glossy White
Length/Depth : 372 mm
Width : 548 mm
Height :115 mm
Weight : 8.22 kg
</t>
  </si>
  <si>
    <t>BOCC- 1476-002-0125</t>
  </si>
  <si>
    <t>1060</t>
  </si>
  <si>
    <t>BOCC- 1476-004-0125</t>
  </si>
  <si>
    <t>BOCC-1478-001-0125</t>
  </si>
  <si>
    <t>Round Countertop Washbasin</t>
  </si>
  <si>
    <t xml:space="preserve">Sottile - Washbasin 38 cm Round Glossy White
Length/Depth :382 mm
Width : 382 mm
Height : 115 mm
Weight :&amp;nbsp; 4.90 kg
</t>
  </si>
  <si>
    <t>580</t>
  </si>
  <si>
    <t>20</t>
  </si>
  <si>
    <t>BOCC-1478-029-0125</t>
  </si>
  <si>
    <t xml:space="preserve">Sottile - Washbasin 38 cm Round Matt Ice Blue
Length/Depth : 388 mm
Width : 388 mm
Height : 118 mm
Weight : 21.51 kg
</t>
  </si>
  <si>
    <t>Ice Blue</t>
  </si>
  <si>
    <t>29015</t>
  </si>
  <si>
    <t>565</t>
  </si>
  <si>
    <t>29062</t>
  </si>
  <si>
    <t>Root 1</t>
  </si>
  <si>
    <t>Root Arabic</t>
  </si>
  <si>
    <t>A42737EXP</t>
  </si>
  <si>
    <t>Square</t>
  </si>
  <si>
    <t xml:space="preserve">Root Bath Mixer Square
Length/Depth : 204 mm
Width : 220 mm
Height : 120 mm
</t>
  </si>
  <si>
    <t>445</t>
  </si>
  <si>
    <t>44.5</t>
  </si>
  <si>
    <t>300</t>
  </si>
  <si>
    <t>Chrome</t>
  </si>
  <si>
    <t>23340</t>
  </si>
  <si>
    <t xml:space="preserve">Root </t>
  </si>
  <si>
    <t>Root</t>
  </si>
  <si>
    <t>A42735EXP</t>
  </si>
  <si>
    <t xml:space="preserve">Root Square Basin Mixer with pop-up&amp;nbsp;
Length/Depth : 156 mm
Width :46 mm
Height : 151 mm
</t>
  </si>
  <si>
    <t>370</t>
  </si>
  <si>
    <t>23491</t>
  </si>
  <si>
    <t>A42725EXP</t>
  </si>
  <si>
    <t xml:space="preserve">Root Round Bath Mixer
Length/Depth : 185 mm
Width : 220 mm
Height : 119 mm
</t>
  </si>
  <si>
    <t xml:space="preserve">Root Round&amp;nbsp;Bath Mixer
Length/Depth : 185 mm
Width : 220 mm
Height : 119 mm
</t>
  </si>
  <si>
    <t>465</t>
  </si>
  <si>
    <t>250</t>
  </si>
  <si>
    <t>23343</t>
  </si>
  <si>
    <t>A42707EXP</t>
  </si>
  <si>
    <t xml:space="preserve">Root Round Basin Mixer
Length/Depth : 223 mm
Width : 46 mm
Height : 315 mm
</t>
  </si>
  <si>
    <t>441</t>
  </si>
  <si>
    <t>272</t>
  </si>
  <si>
    <t>441.00</t>
  </si>
  <si>
    <t>22054</t>
  </si>
  <si>
    <t>A42727EXP</t>
  </si>
  <si>
    <t xml:space="preserve">Concealed part&amp;nbsp;&amp;nbsp;A41949&amp;nbsp;&amp;nbsp;must be installed&amp;nbsp; during wall application
Concealed part is not included, should ordered separately&amp;nbsp;
Root Round Built-in Bath Mixer, (Exposed part)
Length/Depth : 90 mm
Width : 170 mm
Height : 212 mm
</t>
  </si>
  <si>
    <t xml:space="preserve">Concealed part&amp;nbsp;&amp;nbsp;A41949&amp;nbsp;&amp;nbsp;must be installed&amp;nbsp; during wall application
Concealed part is not included,&amp;nbsp;should ordered separately&amp;nbsp;
Root Round Built-in Bath Mixer, (Exposed part)
Length/Depth : 90 mm
Width : 170 mm
Height : 212 mm
</t>
  </si>
  <si>
    <t>206</t>
  </si>
  <si>
    <t>183</t>
  </si>
  <si>
    <t>206.00</t>
  </si>
  <si>
    <t>23212</t>
  </si>
  <si>
    <t>Built-in Bath/Shower Mix. (Conc.)</t>
  </si>
  <si>
    <t>A41949</t>
  </si>
  <si>
    <t>bath shower mixers</t>
  </si>
  <si>
    <t>Taps Mixers</t>
  </si>
  <si>
    <t xml:space="preserve">
Height (mm)
125
Width (mm)
80
Depth (mm)
95
Mounting type
Built-in
Brand
VitrA
Spout Length
170
Finish
Chrome
Guarantee
10 year
Recommended Minimum Pressure
Min:0.5-Max:10Recommended(1-5)
Cartridge
Adjustable heat-flow rate
Water Label Class
Red (&amp;gt;13)
</t>
  </si>
  <si>
    <t>262</t>
  </si>
  <si>
    <t>407</t>
  </si>
  <si>
    <t>262.00</t>
  </si>
  <si>
    <t>24724</t>
  </si>
  <si>
    <t>N/A</t>
  </si>
  <si>
    <t>A42728EXP</t>
  </si>
  <si>
    <t xml:space="preserve">Concealed&amp;nbsp; Part&amp;nbsp;&amp;nbsp;A42213&amp;nbsp; Must be Installed During Wall Application
Concealed Part is Not Included, Should Ordered Separately
Root Round Built-in Shower Mixer, (exposed part)
Length/Depth : 80 mm
Width : 120 mm
Height : 120 mm
</t>
  </si>
  <si>
    <t>139</t>
  </si>
  <si>
    <t>23531</t>
  </si>
  <si>
    <t>A42751EXP</t>
  </si>
  <si>
    <t xml:space="preserve">Concealed Part A42213 Must be Installed During Wall Application
Concealed Part is not Included, Should&amp;nbsp;Ordered&amp;nbsp;Separately
Root Square Built-In Shower Mixer (Exposed Part)
Length/Depth : 80 mm
Width : 120 mm
Height : 120 mm
</t>
  </si>
  <si>
    <t xml:space="preserve">Concealed Part&amp;nbsp;A42213&amp;nbsp;Must be Installed During Wall Application
Concealed Part is not Included, Should&amp;nbsp;Ordered&amp;nbsp;Separately
Root Square Built-In Shower Mixer (Exposed Part)
Length/Depth : 80 mm
Width : 120 mm
Height : 120 mm
</t>
  </si>
  <si>
    <t>218</t>
  </si>
  <si>
    <t>218.00</t>
  </si>
  <si>
    <t>22879</t>
  </si>
  <si>
    <t>Built-in Shower Mixer (Concealed Part)</t>
  </si>
  <si>
    <t>A42213</t>
  </si>
  <si>
    <t xml:space="preserve">
Height (mm)
74
Width (mm)
80
Depth (mm)
149
Mounting type
Built-in
Brand
VitrA
Designer
VitrA Design Team
Guarantee
10 year
Cartridge
Adjustable heat-flow rate
Color
Chrome
Recommended Minimum Pressure
Min:0.5-Max:10Recommended(1-5)
Water Label Class
Red (&amp;gt;13)
</t>
  </si>
  <si>
    <t>261</t>
  </si>
  <si>
    <t>634</t>
  </si>
  <si>
    <t>261.00</t>
  </si>
  <si>
    <t>24725</t>
  </si>
  <si>
    <t>A42733EXP</t>
  </si>
  <si>
    <t xml:space="preserve">Root Square Basin Mixer for Bowls
Length/Depth : 219 mm
Width : 46 mm
Height : 310 mm
</t>
  </si>
  <si>
    <t>585</t>
  </si>
  <si>
    <t>585.00</t>
  </si>
  <si>
    <t>23521</t>
  </si>
  <si>
    <t>A4270623</t>
  </si>
  <si>
    <t>Square-Large</t>
  </si>
  <si>
    <t xml:space="preserve">Root Square Basin Mixer-Large , Gold
Leigth/Depth : 135 mm
Width :46 mm
Height : 175 mm
</t>
  </si>
  <si>
    <t>65</t>
  </si>
  <si>
    <t>Brushed Nickel</t>
  </si>
  <si>
    <t>670</t>
  </si>
  <si>
    <t>A4270634</t>
  </si>
  <si>
    <t>Gold</t>
  </si>
  <si>
    <t>A42761EXP</t>
  </si>
  <si>
    <t xml:space="preserve">Root Square Shower Mixer
Leigth/Depth : 145 mm
Width : 220 mm
Height : 132 mm
</t>
  </si>
  <si>
    <t>610</t>
  </si>
  <si>
    <t>60</t>
  </si>
  <si>
    <t>23218</t>
  </si>
  <si>
    <t>A42706EXP</t>
  </si>
  <si>
    <t>Round-Large</t>
  </si>
  <si>
    <t xml:space="preserve">Root Round Basin Mixer Large
Leigth/Depth : 180 mm
Width : 50 mm
Height : 174 mm
</t>
  </si>
  <si>
    <t>365</t>
  </si>
  <si>
    <t>67</t>
  </si>
  <si>
    <t>22797</t>
  </si>
  <si>
    <t>A42722EXP</t>
  </si>
  <si>
    <t xml:space="preserve">Root Round Basin Mixer with pop-up
Leigth/Depth : 164 mm
Width : 50 mm
Height : 150 mm
</t>
  </si>
  <si>
    <t>19981</t>
  </si>
  <si>
    <t>A4273823EXP</t>
  </si>
  <si>
    <t xml:space="preserve">Concealed Part&amp;nbsp;&amp;nbsp;A42230&amp;nbsp; Must be Installed During Wall Application
Concealed Part is not Included, Should Ordered Separately
Root Square Built-in basin mixer, (exposed part), Gold
Leigth/Depth : 180 mm
Width :200 mm
Height : 100 mm
</t>
  </si>
  <si>
    <t>550</t>
  </si>
  <si>
    <t>29150</t>
  </si>
  <si>
    <t>Built-in Basin Mixer (Concealed Part)</t>
  </si>
  <si>
    <t>N</t>
  </si>
  <si>
    <t>basin-mixers</t>
  </si>
  <si>
    <t>-</t>
  </si>
  <si>
    <t>205.59</t>
  </si>
  <si>
    <t>210</t>
  </si>
  <si>
    <t>A42230</t>
  </si>
  <si>
    <t>A4272123EXP</t>
  </si>
  <si>
    <t xml:space="preserve">Concealed Part A42230 Must be Installed During Wall Application
Concealed Part is not Included, Should Ordered Separately
Root Round Built-in Basin Mixer, (Exposed Part) - Gold
Leigth/Depth : 191 mm
Width : 222 mm
Height : 150 mm
</t>
  </si>
  <si>
    <t>29143</t>
  </si>
  <si>
    <t>A4273123EXP</t>
  </si>
  <si>
    <t xml:space="preserve">Root Square Basin Mixer (large) - Gold
Leigth/Depth : 174 mm
Width :46 mm
Height: 175 mm
</t>
  </si>
  <si>
    <t>24506</t>
  </si>
  <si>
    <t>A42732EXP</t>
  </si>
  <si>
    <t xml:space="preserve">Root Square Basin Mixer, Chrome
Leigth/Depth :156 mm
Width : 46 mm
Height : 151 mm
</t>
  </si>
  <si>
    <t>320</t>
  </si>
  <si>
    <t>24528</t>
  </si>
  <si>
    <t>Memoria Basin Mixer I</t>
  </si>
  <si>
    <t>A4231557EXP</t>
  </si>
  <si>
    <t>KERABEN</t>
  </si>
  <si>
    <t>Bathroom Suites</t>
  </si>
  <si>
    <t>a</t>
  </si>
  <si>
    <t xml:space="preserve">a
</t>
  </si>
  <si>
    <t xml:space="preserve">Arabic
</t>
  </si>
  <si>
    <t>1199</t>
  </si>
  <si>
    <t>119.9</t>
  </si>
  <si>
    <t>1200</t>
  </si>
  <si>
    <t>22975</t>
  </si>
  <si>
    <t>A4231558EXP</t>
  </si>
  <si>
    <t>null</t>
  </si>
  <si>
    <t>Brava</t>
  </si>
  <si>
    <t>A42395EXP</t>
  </si>
  <si>
    <t>Built-In Bath/Shower Mixer</t>
  </si>
  <si>
    <t xml:space="preserve">Concealed Part&amp;nbsp;&amp;nbsp;A41949&amp;nbsp;&amp;nbsp;Must Be Installed During The Wall Application&amp;nbsp;
Concealed Part Is Not Included, Should Ordered Separately&amp;nbsp;
Brava Built/In Bath/Shower Mixer, Chrome
Leigth/Depth : 80 mm
Width : 120 mm
Height : 200 mm
</t>
  </si>
  <si>
    <t>400</t>
  </si>
  <si>
    <t>40</t>
  </si>
  <si>
    <t>23247</t>
  </si>
  <si>
    <t>A42396EXP</t>
  </si>
  <si>
    <t>Built-In Shower Mixer</t>
  </si>
  <si>
    <t xml:space="preserve">Concealed Part A42213 Must Be Installed During Wall Application
Concealed Part Is Not Included, Should Ordered Separately
Brava Built-In Shower Mixer, Chrome
Leigth/Depth : 54 mm
Width :120 mm
Height : 212 mm
</t>
  </si>
  <si>
    <t xml:space="preserve">Concealed Part&amp;nbsp;A42213&amp;nbsp;Must Be Installed During Wall Application
Concealed Part Is Not Included, Should Ordered Separately
Brava Built-In Shower Mixer, Chrome
Leigth/Depth : 54 mm
Width :120 mm
Height : 212 mm
</t>
  </si>
  <si>
    <t>280</t>
  </si>
  <si>
    <t>22991</t>
  </si>
  <si>
    <t>A42613EXP</t>
  </si>
  <si>
    <t>Bath/Shower Mxer</t>
  </si>
  <si>
    <t xml:space="preserve">Brava BAth/Shower Mixer, Chrome
Leith/Depth : 92 mm
Width :268 mm
Height : 85 mm
</t>
  </si>
  <si>
    <t>96</t>
  </si>
  <si>
    <t>23339</t>
  </si>
  <si>
    <t>A42394EXP</t>
  </si>
  <si>
    <t>Built-In Basin Mixer</t>
  </si>
  <si>
    <t xml:space="preserve">A42230&amp;nbsp;Concealed Part Must Be Installed During Wall Application
Concealed Part Is Not Included, Should Ordered Separately
Brava Built-In Basin Mixer, Chrome
Leigth/Depth :198 mm&amp;nbsp;
Width : 200 mm
Height : 98 mm
</t>
  </si>
  <si>
    <t>23242</t>
  </si>
  <si>
    <t>A42614EXP</t>
  </si>
  <si>
    <t>Shower Mixer</t>
  </si>
  <si>
    <t xml:space="preserve">Brava Shower Mixer, Chrome
Leigth/Depth : 80 mm
Width :268 mm
Height : 70 mm
</t>
  </si>
  <si>
    <t>1280</t>
  </si>
  <si>
    <t>21516</t>
  </si>
  <si>
    <t>A42610EXP</t>
  </si>
  <si>
    <t>Basin Mixer</t>
  </si>
  <si>
    <t xml:space="preserve">Brava Basin Mixer For Bowls
&amp;nbsp;
_x0009_
_x0009__x0009_
_x0009__x0009__x0009_
_x0009__x0009__x0009_Article
_x0009__x0009__x0009_
_x0009__x0009__x0009_A42610EXP
_x0009__x0009_
_x0009__x0009_
_x0009__x0009__x0009_
_x0009__x0009__x0009_Collection
_x0009__x0009__x0009_
_x0009__x0009__x0009_Brava
_x0009__x0009_
_x0009__x0009_
_x0009__x0009__x0009_
_x0009__x0009__x0009_Color
_x0009__x0009__x0009_
_x0009__x0009__x0009_chrome
_x0009__x0009_
_x0009__x0009_
_x0009__x0009__x0009_
_x0009__x0009__x0009_Surface
_x0009__x0009__x0009_
_x0009__x0009__x0009_Glossy
_x0009__x0009_
_x0009__x0009_
_x0009__x0009__x0009_
_x0009__x0009__x0009_Product code
_x0009__x0009__x0009_
_x0009__x0009__x0009_13110
_x0009__x0009_
_x0009__x0009_
_x0009__x0009__x0009_
_x0009__x0009__x0009_Material
_x0009__x0009__x0009_
_x0009__x0009__x0009_Brass
_x0009__x0009_
_x0009__x0009_
_x0009__x0009__x0009_
_x0009__x0009__x0009_Warranty
_x0009__x0009__x0009_
_x0009__x0009__x0009_10 years
_x0009__x0009_
_x0009__x0009_
_x0009__x0009__x0009_
_x0009__x0009__x0009_Weight, kg
_x0009__x0009__x0009_
_x0009__x0009__x0009_1.75
_x0009__x0009_
_x0009__x0009_
_x0009__x0009__x0009_
_x0009__x0009__x0009_Liner
_x0009__x0009__x0009_
_x0009__x0009__x0009_With a 3/8 eyeliner standard
_x0009__x0009_
_x0009__x0009_
_x0009__x0009__x0009_
_x0009__x0009__x0009_Bottom Valve
_x0009__x0009__x0009_
_x0009__x0009__x0009_Without bottom valve
_x0009__x0009_
_x0009__x0009_
_x0009__x0009__x0009_
_x0009__x0009__x0009_Management
_x0009__x0009__x0009_
_x0009__x0009__x0009_Single-lever
_x0009__x0009_
_x0009__x0009_
_x0009__x0009__x0009_
_x0009__x0009__x0009_Spout length (mm)
_x0009__x0009__x0009_
_x0009__x0009__x0009_149
_x0009__x0009_
_x0009__x0009_
_x0009__x0009__x0009_
_x0009__x0009__x0009_Spout Type
_x0009__x0009__x0009_
_x0009__x0009__x0009_With a traditional spout
_x0009__x0009_
_x0009__x0009_
_x0009__x0009__x0009_
_x0009__x0009__x0009_Spout rotation
_x0009__x0009__x0009_
_x0009__x0009__x0009_No rotating spout
_x0009__x0009_
_x0009__x0009_
_x0009__x0009__x0009_
_x0009__x0009__x0009_Width
_x0009__x0009__x0009_
_x0009__x0009__x0009_50
_x0009__x0009_
_x0009__x0009_
_x0009__x0009__x0009_
_x0009__x0009__x0009_Spout height (mm)
_x0009__x0009__x0009_
_x0009__x0009__x0009_215
_x0009__x0009_
_x0009__x0009_
_x0009__x0009__x0009_
_x0009__x0009__x0009_Length
_x0009__x0009__x0009_
_x0009__x0009__x0009_184
_x0009__x0009_
_x0009_
</t>
  </si>
  <si>
    <t xml:space="preserve">
_x0009_
_x0009__x0009_
_x0009__x0009__x0009_
_x0009__x0009__x0009_Article
_x0009__x0009__x0009_
_x0009__x0009__x0009_A42610EXP
_x0009__x0009_
_x0009__x0009_
_x0009__x0009__x0009_
_x0009__x0009__x0009_Collection
_x0009__x0009__x0009_
_x0009__x0009__x0009_Brava
_x0009__x0009_
_x0009__x0009_
_x0009__x0009__x0009_
_x0009__x0009__x0009_Color
_x0009__x0009__x0009_
_x0009__x0009__x0009_chromium
_x0009__x0009_
_x0009__x0009_
_x0009__x0009__x0009_
_x0009__x0009__x0009_Surface
_x0009__x0009__x0009_
_x0009__x0009__x0009_Glossy
_x0009__x0009_
_x0009__x0009_
_x0009__x0009__x0009_
_x0009__x0009__x0009_Product code
_x0009__x0009__x0009_
_x0009__x0009__x0009_13110
_x0009__x0009_
_x0009__x0009_
_x0009__x0009__x0009_
_x0009__x0009__x0009_Material
_x0009__x0009__x0009_
_x0009__x0009__x0009_Brass
_x0009__x0009_
_x0009__x0009_
_x0009__x0009__x0009_
_x0009__x0009__x0009_Warranty
_x0009__x0009__x0009_
_x0009__x0009__x0009_10 years
_x0009__x0009_
_x0009__x0009_
_x0009__x0009__x0009_
_x0009__x0009__x0009_Weight, kg
_x0009__x0009__x0009_
_x0009__x0009__x0009_1.75
_x0009__x0009_
_x0009__x0009_
_x0009__x0009__x0009_
_x0009__x0009__x0009_Liner
_x0009__x0009__x0009_
_x0009__x0009__x0009_With a 3/8 eyeliner standard
_x0009__x0009_
_x0009__x0009_
_x0009__x0009__x0009_
_x0009__x0009__x0009_Bottom Valve
_x0009__x0009__x0009_
_x0009__x0009__x0009_Without bottom valve
_x0009__x0009_
_x0009__x0009_
_x0009__x0009__x0009_
_x0009__x0009__x0009_Management
_x0009__x0009__x0009_
_x0009__x0009__x0009_Single-lever
_x0009__x0009_
_x0009__x0009_
_x0009__x0009__x0009_
_x0009__x0009__x0009_Spout length (mm)
_x0009__x0009__x0009_
_x0009__x0009__x0009_149
_x0009__x0009_
_x0009__x0009_
_x0009__x0009__x0009_
_x0009__x0009__x0009_Spout Type
_x0009__x0009__x0009_
_x0009__x0009__x0009_With a traditional spout
_x0009__x0009_
_x0009__x0009_
_x0009__x0009__x0009_
_x0009__x0009__x0009_Spout rotation
_x0009__x0009__x0009_
_x0009__x0009__x0009_No rotating spout
_x0009__x0009_
_x0009__x0009_
_x0009__x0009__x0009_
_x0009__x0009__x0009_Width
_x0009__x0009__x0009_
_x0009__x0009__x0009_50
_x0009__x0009_
_x0009__x0009_
_x0009__x0009__x0009_
_x0009__x0009__x0009_Spout height (mm)
_x0009__x0009__x0009_
_x0009__x0009__x0009_215
_x0009__x0009_
_x0009__x0009_
_x0009__x0009__x0009_
_x0009__x0009__x0009_Length
_x0009__x0009__x0009_
_x0009__x0009__x0009_184
_x0009__x0009_
_x0009_
</t>
  </si>
  <si>
    <t>1170</t>
  </si>
  <si>
    <t>80</t>
  </si>
  <si>
    <t>23056</t>
  </si>
  <si>
    <t>A42608EXP</t>
  </si>
  <si>
    <t>Basin MIxer</t>
  </si>
  <si>
    <t xml:space="preserve">Brava Basin Mixer, Chrome
Leigth/Depth : 157 mm
Width : 50 mm
Height : 154 mm
</t>
  </si>
  <si>
    <t>760</t>
  </si>
  <si>
    <t>89</t>
  </si>
  <si>
    <t>23245</t>
  </si>
  <si>
    <t>Meir</t>
  </si>
  <si>
    <t>MR-NDMB09-PVDBN</t>
  </si>
  <si>
    <t>MEIR</t>
  </si>
  <si>
    <t>Bathtubs And Shower</t>
  </si>
  <si>
    <t>Round Freestanding Bath Spout and Hand Shower</t>
  </si>
  <si>
    <t xml:space="preserve">Round Freestanding Bath Spout and Hand Shower - Brushed Nickel
&amp;ndash; PVD Brushed Nickel finish
&amp;ndash; Watermark approved; AS/NZS 3718:2005
&amp;ndash; WELS registration: S14861
&amp;ndash; 3-star WELS rating; water efficiency of 9 Litres per minute
&amp;ndash; Height: 990mm
&amp;ndash; Depth: 294mm
&amp;ndash; Width of pole: 45mm
&amp;ndash; Single check valve installed for grey water compliance
&amp;ndash; The faucet can be rotated 360&amp;deg;
&amp;ndash; Easy-to-follow installation instructions and all hardware included
</t>
  </si>
  <si>
    <t>2900</t>
  </si>
  <si>
    <t>Champagne</t>
  </si>
  <si>
    <t>3150</t>
  </si>
  <si>
    <t>MR-NDMB09-CH</t>
  </si>
  <si>
    <t>29348</t>
  </si>
  <si>
    <t>Shadow</t>
  </si>
  <si>
    <t>3500</t>
  </si>
  <si>
    <t>MR-NDMB09-PVDGM</t>
  </si>
  <si>
    <t>29335</t>
  </si>
  <si>
    <t>29334</t>
  </si>
  <si>
    <t>MR-MZ08-R-CH</t>
  </si>
  <si>
    <t>Round Hand Shower</t>
  </si>
  <si>
    <t xml:space="preserve">Round Hand Shower on Fixed Bracket-Champagne&amp;nbsp;
&amp;ndash; Electroplated champagne finish
&amp;ndash; Watermark approved; AS/NZS 3718:2005
&amp;ndash; 3-star WELS rating; water efficiency of 9 Litres per minute
&amp;ndash; WELS registration No: S16196
&amp;ndash; 68mm long 1/2&amp;quot; threaded adapter included
&amp;ndash; Brass construction body
&amp;ndash; 1.5m flexible hose
&amp;ndash; Installation instructions included
</t>
  </si>
  <si>
    <t>450</t>
  </si>
  <si>
    <t>29079</t>
  </si>
  <si>
    <t>Tiger Bronze</t>
  </si>
  <si>
    <t>MR-MZ08-R-PVDBB</t>
  </si>
  <si>
    <t>29091</t>
  </si>
  <si>
    <t>460</t>
  </si>
  <si>
    <t>MR-MZ08-R-PVDGM</t>
  </si>
  <si>
    <t>29089</t>
  </si>
  <si>
    <t>440</t>
  </si>
  <si>
    <t>MR-MZ08-R-PVDBN</t>
  </si>
  <si>
    <t>29084</t>
  </si>
  <si>
    <t>MR-MW03-FIN-CH</t>
  </si>
  <si>
    <t>Round Wall Mixer</t>
  </si>
  <si>
    <t xml:space="preserve">Concealed Part MW13BDY Must Be Installed During The Wall Application
Concealed Part Is Not Included, Should Ordered Separately
Round Wall Mixer (concealed )- Champagne
&amp;ndash; Electroplated Champagne Finish
&amp;ndash; Handle 110mm
&amp;ndash; Solid brass construction
</t>
  </si>
  <si>
    <t xml:space="preserve">Concealed Part&amp;nbsp;MW13BDY&amp;nbsp;Must Be Installed During The Wall Application
Concealed Part Is Not Included, Should Ordered Separately
Round Wall Mixer (concealed )- Champagne
&amp;nbsp;Electroplated Champagne Finish-
&amp;nbsp;Handle 110mm-
Solid brass construction-
</t>
  </si>
  <si>
    <t>29445</t>
  </si>
  <si>
    <t>MR-MW03-FIN-PVDBB</t>
  </si>
  <si>
    <t>29481</t>
  </si>
  <si>
    <t>MR-MW03-FIN-PVDBN</t>
  </si>
  <si>
    <t>32</t>
  </si>
  <si>
    <t>29471</t>
  </si>
  <si>
    <t>MR-MH06-CH</t>
  </si>
  <si>
    <t>Round Shower Head</t>
  </si>
  <si>
    <t xml:space="preserve">Meir Shower Rose 300 mm-Champagne
&amp;ndash; Champagne finish
&amp;ndash; 300mm Shower Rose
&amp;ndash; Watermark approved; AS/NZS 3718:2005
&amp;ndash; WELS registration No: S17729
&amp;ndash; 3-star WELS rating; water efficiency of 9 Litres per minute
&amp;ndash; Solid stainless steel&amp;nbsp;construction
&amp;ndash; 35mm European ceramic cartridge
&amp;ndash; Easy-to-follow installation instructions &amp;amp; all parts included
</t>
  </si>
  <si>
    <t>29299</t>
  </si>
  <si>
    <t>1150</t>
  </si>
  <si>
    <t>MR-MH06-PVDGM</t>
  </si>
  <si>
    <t>29305</t>
  </si>
  <si>
    <t>MR-MH06-PVDBN</t>
  </si>
  <si>
    <t>29304</t>
  </si>
  <si>
    <t>MR-MH06-PVDBB</t>
  </si>
  <si>
    <t>29307</t>
  </si>
  <si>
    <t>MR-MA09-400-CH</t>
  </si>
  <si>
    <t>Round Wall Shower Curved Arm 400 mm- Champagne</t>
  </si>
  <si>
    <t xml:space="preserve">Round Wall Shower Curved Arm 400 mm- Champagne
- Champagne finish
- 400mm Shower Curved Arm
</t>
  </si>
  <si>
    <t>350</t>
  </si>
  <si>
    <t>29519</t>
  </si>
  <si>
    <t>360</t>
  </si>
  <si>
    <t>MR-MA09-400-PVDGM</t>
  </si>
  <si>
    <t>29512</t>
  </si>
  <si>
    <t>340</t>
  </si>
  <si>
    <t>MR-MA09-400-PVDBN</t>
  </si>
  <si>
    <t>29511</t>
  </si>
  <si>
    <t>MR-MA09-400-PVDBB</t>
  </si>
  <si>
    <t>29513</t>
  </si>
  <si>
    <t>Lesmo</t>
  </si>
  <si>
    <t>lesmo</t>
  </si>
  <si>
    <t>GIEFFECUCINE</t>
  </si>
  <si>
    <t>KItchen</t>
  </si>
  <si>
    <t>Kitchen</t>
  </si>
  <si>
    <t>Modular Italian Kitchen</t>
  </si>
  <si>
    <t xml:space="preserve">Price will differ accordingly to the sizes
Gieffecucine Lesmo Collection - VERDE OLIVA RAL6003
ELEMENTI A GIORNO BIANCO OPACO
</t>
  </si>
  <si>
    <t>30000</t>
  </si>
  <si>
    <t>30.000</t>
  </si>
  <si>
    <t>lesmo-9001</t>
  </si>
  <si>
    <t xml:space="preserve">Price will differ accordingly to the sizes
Gieffecucine Lesmo Collection - BIANCO CREMA LUCIDA RAL 90001
</t>
  </si>
  <si>
    <t>MR-MW13BDY</t>
  </si>
  <si>
    <t>MIXER-BDY</t>
  </si>
  <si>
    <t xml:space="preserve">Body For Mixers
&amp;ndash; Standard 1/2&amp;quot; BSP thread
&amp;ndash; 100% genuine European WaterMark Ceramic cartridge
&amp;ndash; Washer-less technology
</t>
  </si>
  <si>
    <t>170</t>
  </si>
  <si>
    <t>157</t>
  </si>
  <si>
    <t>29077</t>
  </si>
  <si>
    <t>MR-MW07-FIN-CH</t>
  </si>
  <si>
    <t>Round Diverter Mixer</t>
  </si>
  <si>
    <t xml:space="preserve">MR-MW27BDY Concealed part must installed during the wall application&amp;nbsp;
Concealed part is not included , should ordered separately
Round Diverter Mixer-Champagne
&amp;ndash; Standard 1/2&amp;quot; BSP thread
&amp;ndash; Champagne Electroplated finish.
&amp;ndash; WRAS approved
&amp;ndash; 100% genuine WaterMark Ceramic cartridge
&amp;ndash; Washer-less technology meaning you will never again need to change another washer
&amp;ndash; Smooth Engineering gives precise movement of the handle
&amp;ndash; Watermark approved; complies with AS/NZS 3718:2005
&amp;ndash; Easy-to-follow installation instructions included
</t>
  </si>
  <si>
    <t xml:space="preserve">MR-MW27BDY&amp;nbsp;Concealed part must installed during the wall application&amp;nbsp;
Concealed part is not included , should ordered separately
Round Diverter Mixer-Champagne
&amp;ndash; Standard 1/2&amp;quot; BSP thread
&amp;ndash; Champagne Electroplated finish.
&amp;ndash; WRAS approved
&amp;ndash; 100% genuine WaterMark Ceramic cartridge
&amp;ndash; Washer-less technology meaning you will never again need to change another washer
&amp;ndash; Smooth Engineering gives precise movement of the handle
&amp;ndash; Watermark approved; complies with AS/NZS 3718:2005
&amp;ndash; Easy-to-follow installation instructions included
</t>
  </si>
  <si>
    <t>29446</t>
  </si>
  <si>
    <t>MR-MW07-FIN-PVDGM</t>
  </si>
  <si>
    <t>34</t>
  </si>
  <si>
    <t>29449</t>
  </si>
  <si>
    <t>MR-MW07-FIN-PVDBN</t>
  </si>
  <si>
    <t>23</t>
  </si>
  <si>
    <t>29448</t>
  </si>
  <si>
    <t>MR-MW07-FIN-PVDBB</t>
  </si>
  <si>
    <t>29450</t>
  </si>
  <si>
    <t>MR-MW27BDY</t>
  </si>
  <si>
    <t>DIVERTER-BDY</t>
  </si>
  <si>
    <t xml:space="preserve">Body for Diverters (to be used with finish parts)
&amp;ndash; Standard 1/2&amp;Prime; BSP thread
&amp;ndash; WRAS approved
&amp;ndash; 100% genuine WaterMark Ceramic cartridge
</t>
  </si>
  <si>
    <t>330</t>
  </si>
  <si>
    <t>150</t>
  </si>
  <si>
    <t>29094</t>
  </si>
  <si>
    <t>MR-MZ0706-R-PVDBB</t>
  </si>
  <si>
    <t>Round Combination Shower Rail with Handshower</t>
  </si>
  <si>
    <t xml:space="preserve">For Concealed Usage
&amp;ndash; PVD Tiger Bronze finish
&amp;ndash; Watermark approved; AS/NZS 3718:2005
&amp;ndash; WELS registration No: S18067
&amp;ndash; 3-star WELS rating; water efficiency of 9 Litres per minute
&amp;ndash; Standard 1/2&amp;Prime; BSP thread
&amp;ndash; Universal top or bottom water inlet thread (1/2&amp;Prime; female)
&amp;ndash; Built-in diverter
&amp;ndash; 300mm shower rose
&amp;ndash; Flexible 1.5m hose
&amp;ndash; Solid brass construction throughout
&amp;nbsp;
</t>
  </si>
  <si>
    <t>2750</t>
  </si>
  <si>
    <t>MR-MZ0706-R-PVDGM</t>
  </si>
  <si>
    <t>15</t>
  </si>
  <si>
    <t>29464</t>
  </si>
  <si>
    <t>MR-MZ0706-R-PVDBN</t>
  </si>
  <si>
    <t>29458</t>
  </si>
  <si>
    <t>29457</t>
  </si>
  <si>
    <t>MR-MB03XL.01</t>
  </si>
  <si>
    <t>Piccola Tall Basin Mixer</t>
  </si>
  <si>
    <t xml:space="preserve">Piccola Tall Basin mixer Tap with 130 mm spout - matt black
&amp;ndash; Electroplated Matte Black finish
&amp;ndash; Watermark approved; AS/NZS 3718:2005
&amp;ndash; WELS registration No: T36385
&amp;ndash; 5-star WELS rating; water efficiency of 5.5 Litres per minute
&amp;ndash; Solid brass construction
&amp;ndash; 35mm European ceramic cartridge
&amp;ndash; 130mm curved spout
&amp;ndash; Easy-to-follow installation instructions included
&amp;nbsp;
&amp;nbsp;
&amp;nbsp;
</t>
  </si>
  <si>
    <t xml:space="preserve">Piccola Tall Basin mixer Tap with 130 mm spout -&amp;nbsp;matt black
&amp;ndash; Electroplated Matte Black finish
&amp;ndash; Watermark approved; AS/NZS 3718:2005
&amp;ndash; WELS registration No: T36385
&amp;ndash; 5-star WELS rating; water efficiency of 5.5 Litres per minute
&amp;ndash; Solid brass construction
&amp;ndash; 35mm European ceramic cartridge
&amp;ndash; 130mm curved spout
&amp;ndash; Easy-to-follow installation instructions included
&amp;nbsp;
&amp;nbsp;
&amp;nbsp;
</t>
  </si>
  <si>
    <t>710</t>
  </si>
  <si>
    <t>MR-MB03XL.01-CH</t>
  </si>
  <si>
    <t>29465</t>
  </si>
  <si>
    <t>MR-MB03XL.01-PVDGM</t>
  </si>
  <si>
    <t>29468</t>
  </si>
  <si>
    <t>650</t>
  </si>
  <si>
    <t>MR-MB03XL.01-PVDBN</t>
  </si>
  <si>
    <t>29476</t>
  </si>
  <si>
    <t>29482</t>
  </si>
  <si>
    <t>MR-MB03XS-PVDBN</t>
  </si>
  <si>
    <t>Piccola Basin Mixer Tap</t>
  </si>
  <si>
    <t xml:space="preserve">Piccola Basin Mixer Tap-Brushed Nickel
&amp;ndash; PVD Shadow Brushed Nickel&amp;nbsp;finish
&amp;ndash; Watermark approved; AS/NZS 3718:2005
&amp;ndash; WELS registration No: T35595
&amp;ndash; 5-star WELS rating; water efficiency of 5.5 Litres per minute
&amp;ndash; 35mm cartridge
&amp;ndash; Solid brass construction
&amp;ndash; Installation instructions included
</t>
  </si>
  <si>
    <t xml:space="preserve">Piccola Basin Mixer Tap-Brushed Nickel
&amp;ndash; PVD Shadow Brushed Nickel&amp;nbsp;finish
&amp;ndash; Watermark approved; AS/NZS 3718:2005
&amp;ndash; WELS registration No: T35595
&amp;ndash;5star WELS rating; water efficiency of 5.5 Litres per minute
&amp;ndash; 35mm cartridge
&amp;ndash; Solid brass construction
&amp;ndash; Installation instructions included
</t>
  </si>
  <si>
    <t>29199</t>
  </si>
  <si>
    <t>MR-MB03XS-PVDBB</t>
  </si>
  <si>
    <t>29189</t>
  </si>
  <si>
    <t>MR-MK17-PVDGM</t>
  </si>
  <si>
    <t>Piccola Out Kitchen Mixer Tap</t>
  </si>
  <si>
    <t xml:space="preserve">Piccola Out Kitchen Mixer Tap
&amp;ndash; PVD Shadow Gunmetal finish
&amp;ndash; Watermark approved; AS/NZS 3718:2005
&amp;ndash; WELS registration No: T36053
&amp;ndash; 5-star WELS rating; water efficiency of 6 Litres per minute
&amp;ndash; 35mm ceramic cartridge
&amp;ndash; Solid brass construction
&amp;ndash; Installation instructions included
</t>
  </si>
  <si>
    <t>MR-MK17-CH</t>
  </si>
  <si>
    <t>29202</t>
  </si>
  <si>
    <t>29136</t>
  </si>
  <si>
    <t>MR-MK17-PVDBN</t>
  </si>
  <si>
    <t>29203</t>
  </si>
  <si>
    <t>MR-MK17-PVDBB</t>
  </si>
  <si>
    <t>29190</t>
  </si>
  <si>
    <t>MR-MBRP-380110-PVDCH</t>
  </si>
  <si>
    <t>Lavello Round Bathroom Basin Without Pop Up</t>
  </si>
  <si>
    <t xml:space="preserve">Lavello Round Bathroom Basin Without Pop Up
Pop-Up is not included, should ordered separately
Width: 380mm
Depth: 110mm
Materials: Stainless Steel
Finish: PVD Champagne
Style: Single
Coating: PVD
Warranty: 15 years
SKU: MBRP-380110-PVDCH
&amp;nbsp;
</t>
  </si>
  <si>
    <t>1300</t>
  </si>
  <si>
    <t>29068</t>
  </si>
  <si>
    <t>MR-MBRP-380110-PVDGM</t>
  </si>
  <si>
    <t>29075</t>
  </si>
  <si>
    <t>MR-MBRP-380110-PVDBN</t>
  </si>
  <si>
    <t>29030</t>
  </si>
  <si>
    <t>MR-MBRP-380110-PVDBB</t>
  </si>
  <si>
    <t>29029</t>
  </si>
  <si>
    <t>MR-MP04-B-CH</t>
  </si>
  <si>
    <t>Basin Pop Up Waste 32 mm</t>
  </si>
  <si>
    <t xml:space="preserve">Basin Pop Up Waste 32 mm -No Overflow/Unslotted-PVD Champagne
-Champagne&amp;nbsp;finish
-Overflow / Slotted
-Designed for basin or bath drain hole sizes at approximately 45mm in diameter
&amp;nbsp;
-Comes with standard fittings for easy installation
&amp;nbsp;
&amp;nbsp;
</t>
  </si>
  <si>
    <t xml:space="preserve">Basin Pop Up Waste 32 mm -No Overflow/Unslotted-PVD Champagne
-Champagne&amp;nbsp;finish
-Overflow / Slotted
-Designed for basin or bath drain hole sizes at approximately 45mm in diameter
&amp;nbsp;
-Comes with standard fittings for easy installation
&amp;nbsp;
</t>
  </si>
  <si>
    <t>100</t>
  </si>
  <si>
    <t>29466</t>
  </si>
  <si>
    <t>MR-MP04-B-PVDGM</t>
  </si>
  <si>
    <t>77</t>
  </si>
  <si>
    <t>29483</t>
  </si>
  <si>
    <t>MR-MP04-B-PVDBN</t>
  </si>
  <si>
    <t>71</t>
  </si>
  <si>
    <t>29478</t>
  </si>
  <si>
    <t>MR-MP04-B-PVDBB</t>
  </si>
  <si>
    <t>73</t>
  </si>
  <si>
    <t>29462</t>
  </si>
  <si>
    <t>MR-MP05-R32-CH</t>
  </si>
  <si>
    <t>Round Bottle Trap for 32 mm Basin Waste</t>
  </si>
  <si>
    <t xml:space="preserve">Round Bottle Trap for 32 mm Basin Waste&amp;nbsp;and 32 mm Outlet-Champagne
&amp;ndash; Champagne finish
&amp;ndash; 32mm thread metric size. 41mm &amp;quot;actual&amp;quot; basin thread size (matching a 32mm pop-up waste - MP04-A or MP04-B)
&amp;ndash; Comes with standard fittings for easy installation
</t>
  </si>
  <si>
    <t>46</t>
  </si>
  <si>
    <t>29157</t>
  </si>
  <si>
    <t>MR-MP05-R32-PVDGM</t>
  </si>
  <si>
    <t>52</t>
  </si>
  <si>
    <t>29170</t>
  </si>
  <si>
    <t>MR-MP05-R32-PVDBN</t>
  </si>
  <si>
    <t>29194</t>
  </si>
  <si>
    <t>MR-MP05-R32-PVDBB</t>
  </si>
  <si>
    <t>29111</t>
  </si>
  <si>
    <t>MR-MR01-SR60-CH</t>
  </si>
  <si>
    <t>Accessories</t>
  </si>
  <si>
    <t>Round Single Towel Rail 600 mm-Champagne</t>
  </si>
  <si>
    <t xml:space="preserve">Round Single Towel Rail 600 mm-Champagne
&amp;ndash; Electroplated Champagne finish
&amp;ndash; Length: 600mm
&amp;ndash; Comes with standard fittings for easy installation
&amp;ndash; Available as part of Meir&amp;rsquo;s range of champagne bathroom accessories.
</t>
  </si>
  <si>
    <t>29185</t>
  </si>
  <si>
    <t>MR-MR01-SR60-PVDGM</t>
  </si>
  <si>
    <t>26</t>
  </si>
  <si>
    <t>29163</t>
  </si>
  <si>
    <t>MR-MR01-SR60-PVDBN</t>
  </si>
  <si>
    <t>29160</t>
  </si>
  <si>
    <t>MR-MR01-SR60</t>
  </si>
  <si>
    <t>29195</t>
  </si>
  <si>
    <t>MR-MR01-SR60-PVDBB</t>
  </si>
  <si>
    <t>29155</t>
  </si>
  <si>
    <t>MR-MR02-R-PVDBB</t>
  </si>
  <si>
    <t>Round Toilet Roll Holder -Tiger Bronze</t>
  </si>
  <si>
    <t xml:space="preserve">Round Toilet Roll Holder -Tiger Bronze
&amp;ndash; Width: 159mm
&amp;ndash; Depth: 80mm
&amp;ndash; Solid brass construction
&amp;ndash; PVD tiger bronze finish
&amp;ndash; Comes with standard fittings for easy installation
&amp;ndash; Tiger Bronze is made with anti-fingerprint technology
</t>
  </si>
  <si>
    <t>120</t>
  </si>
  <si>
    <t>MR-MR02-R-PVDGM</t>
  </si>
  <si>
    <t>29162</t>
  </si>
  <si>
    <t>130</t>
  </si>
  <si>
    <t>MR-MR02-R-PVDBN</t>
  </si>
  <si>
    <t>29174</t>
  </si>
  <si>
    <t>29164</t>
  </si>
  <si>
    <t>MR-MR03-R-CH</t>
  </si>
  <si>
    <t>Round Robe Hook -Champagne</t>
  </si>
  <si>
    <t xml:space="preserve">Round Robe Hook -Champagne
&amp;ndash; Width: 68mm
&amp;ndash; Depth: 45mm
&amp;ndash; Solid brass construction
&amp;ndash; Electroplated champagne finish
&amp;ndash; Comes with standard fittings for easy installation
</t>
  </si>
  <si>
    <t>MR-MR03-R-PVDGM</t>
  </si>
  <si>
    <t>29169</t>
  </si>
  <si>
    <t>29183</t>
  </si>
  <si>
    <t>MR-MR03-R-PVDBN</t>
  </si>
  <si>
    <t>29175</t>
  </si>
  <si>
    <t>MR-MR05-R-CH</t>
  </si>
  <si>
    <t>Round Guest Towel Rail-Champagne</t>
  </si>
  <si>
    <t xml:space="preserve">Round Guest Towel Rail-Champagne
&amp;ndash; Width: 270mm
&amp;ndash; Depth: 80mm
&amp;ndash; Solid brass construction
&amp;ndash; Electroplated champagne finish
&amp;ndash; Comes with standard fittings for easy installation
</t>
  </si>
  <si>
    <t>29184</t>
  </si>
  <si>
    <t>MR-MR05-R-PVDGM</t>
  </si>
  <si>
    <t>29158</t>
  </si>
  <si>
    <t>MR-MR05-R-PVDBN</t>
  </si>
  <si>
    <t>29159</t>
  </si>
  <si>
    <t>MR-MR05-R-PVDBB</t>
  </si>
  <si>
    <t>29172</t>
  </si>
  <si>
    <t>MR-MW08JL-PVDBB</t>
  </si>
  <si>
    <t>Round Cross Handle Jumper Valve Wall Top Assemblies- Tiger Bronze</t>
  </si>
  <si>
    <t xml:space="preserve">MR-MSABR00 Concealed part must be installed during the wall application
Concealed part and spout are&amp;nbsp;not included, should ordered separetaly
Round Cross Handle Jumper Valve Wall Top Assemblies- Tiger Bronze
&amp;ndash; Electroplated tiger bronze finish
&amp;ndash; Solid brass construction
&amp;ndash; Jumper Valve connection
&amp;ndash; Long Spindle
</t>
  </si>
  <si>
    <t xml:space="preserve">MR-MSABR00&amp;nbsp;Concealed part must be installed during the wall application
Concealed part and spout are&amp;nbsp;not included, should ordered separetaly
Round Cross Handle Jumper Valve Wall Top Assemblies- Tiger Bronze
&amp;ndash; Electroplated tiger bronze finish
&amp;ndash; Solid brass construction
&amp;ndash; Jumper Valve connection
&amp;ndash; Long Spindle
</t>
  </si>
  <si>
    <t>MR-MW08JL-PVDGM</t>
  </si>
  <si>
    <t>29469</t>
  </si>
  <si>
    <t>MR-MW08JL-PVDBN</t>
  </si>
  <si>
    <t>29479</t>
  </si>
  <si>
    <t>MR-MW08JL</t>
  </si>
  <si>
    <t>29472</t>
  </si>
  <si>
    <t>29474</t>
  </si>
  <si>
    <t>Meir Concealed Part</t>
  </si>
  <si>
    <t>MR-MSABR00</t>
  </si>
  <si>
    <t>Concealed in-wall assembly for Wall Taps (bath and basin)</t>
  </si>
  <si>
    <t xml:space="preserve">Concealed in-wall assembly for Wall Taps (bath and basin)
The breech is used as a concealed connector between two single taps and the outlet spout.
This is required whenever wall taps are used to provide mixed water to an outlet spout from the wall.
&amp;nbsp;
</t>
  </si>
  <si>
    <t>29453</t>
  </si>
  <si>
    <t>66283</t>
  </si>
  <si>
    <t>Root Washbasin Unit, With Four Drawers, 120 cm</t>
  </si>
  <si>
    <t xml:space="preserve">Root Washbasin Unit, With Four Drawers, 120 cm With Rounded Washbasin
&amp;nbsp;
_x0009_Height (mm)650
_x0009_Width (mm)1167
_x0009_Depth (mm)451
_x0009_ColorGlossy white
_x0009_DesignerVitrA Design Team
_x0009_Guarantee2 year
_x0009_AssemblyWall hung
_x0009_Finish-FrontPET
_x0009_CertificateCE
_x0009_Tap Hole Options2 Faucet Holes
_x0009_LightingNo
_x0009_Finish-BodyPET
_x0009_SyphonSyphon Included
_x0009_BrandVitrA
_x0009_FinishPET
_x0009_Soft closeYes
_x0009_Syphon Cut-OutYes
_x0009_Tap Hole SideDouble Bowl
_x0009_Body ColorWhite high gloss
_x0009_GripRoot Bar Handle
_x0009_Washbasin colour12
_x0009_Washbasin TypeRound vanity
&amp;nbsp;
&amp;nbsp;
</t>
  </si>
  <si>
    <t xml:space="preserve">Root Washbasin Unit, With Four Drawers, 120 cm With Rounded Washbasin
Length/Depth : 451 mm
Width : 1167 mm
Height : 650 mm
</t>
  </si>
  <si>
    <t>4650</t>
  </si>
  <si>
    <t>Walnut</t>
  </si>
  <si>
    <t>4300</t>
  </si>
  <si>
    <t>66277</t>
  </si>
  <si>
    <t>22080</t>
  </si>
  <si>
    <t>22646</t>
  </si>
  <si>
    <t>68238</t>
  </si>
  <si>
    <t>Root Washbasin Unit, With One Drawer, 100 cm</t>
  </si>
  <si>
    <t xml:space="preserve">Root Washbasin Unit, With One Drawer, 100 cm With Angular Washbasin
&amp;nbsp;
_x0009_Height (mm)395
_x0009_Width (mm)964
_x0009_Depth (mm)451
_x0009_ColorGlossy white
_x0009_DesignerVitrA Design Team
_x0009_Tap Hole Options1 Faucet Hole
_x0009_Guarantee2 year
_x0009_AssemblyWall hung
_x0009_Finish-FrontPET
_x0009_LightingNo
_x0009_Finish-BodyPET
_x0009_Tap Hole SideMiddle
_x0009_SyphonSyphon Included
_x0009_BrandVitrA
_x0009_FinishPET
_x0009_Soft closeYes
_x0009_Syphon Cut-OutYes
_x0009_Body ColorWhite high gloss
_x0009_GripRoot Bar Handle
_x0009_Washbasin TypeAngular vanity
_x0009_Washbasin colour12
_x0009_Number of Doors1
</t>
  </si>
  <si>
    <t xml:space="preserve">Root Washbasin Unit, With One Drawer, 100 cm With Angular Washbasin
Length/Depth : 451 mm
Width : 964 mm
Height : 395 mm
</t>
  </si>
  <si>
    <t>Natural Oak</t>
  </si>
  <si>
    <t>2250</t>
  </si>
  <si>
    <t>68245</t>
  </si>
  <si>
    <t>23807</t>
  </si>
  <si>
    <t>23334</t>
  </si>
  <si>
    <t>66282</t>
  </si>
  <si>
    <t>Root Washbasin Unit, With FourDrawer, 120 cm</t>
  </si>
  <si>
    <t xml:space="preserve">Root Washbasin Unit, With Four&amp;nbsp;Drawer, 120 cm, With Angular Washbasin
&amp;nbsp;
_x0009_Height (mm)650
_x0009_Width (mm)1167
_x0009_Depth (mm)451
_x0009_ColorGlossy white
_x0009_DesignerVitrA Design Team
_x0009_Guarantee2 year
_x0009_AssemblyWall hung
_x0009_Finish-FrontPET
_x0009_CertificateCE
_x0009_Tap Hole Options2 Faucet Holes
_x0009_LightingNo
_x0009_Finish-BodyPET
_x0009_SyphonSyphon Included
_x0009_BrandVitrA
_x0009_FinishPET
_x0009_Soft closeYes
_x0009_Syphon Cut-OutYes
_x0009_Tap Hole SideDouble Bowl
_x0009_Body ColorWhite high gloss
_x0009_GripRoot Bar Handle
_x0009_Washbasin TypeAngular vanity
_x0009_Washbasin colour12
&amp;nbsp;
</t>
  </si>
  <si>
    <t xml:space="preserve">Root Washbasin Unit, With Four&amp;nbsp;Drawer, 120 cm, With Angular Washbasin
Leigth/depth : 451 mm
Width : 1167 mm
Height : 650 mm
</t>
  </si>
  <si>
    <t>4624</t>
  </si>
  <si>
    <t>4624.00</t>
  </si>
  <si>
    <t>20535</t>
  </si>
  <si>
    <t>68248</t>
  </si>
  <si>
    <t>Root Washbasin Unit, With One Drawer, 100 cm With Rounded Washbasin</t>
  </si>
  <si>
    <t xml:space="preserve">Root Washbasin Unit, With One Drawer, 100 cm With Rounded Washbasin
&amp;nbsp;
_x0009_Height (mm)395
_x0009_Width (mm)964
_x0009_Depth (mm)451
_x0009_ColorGlossy white
_x0009_DesignerVitrA Design Team
_x0009_Tap Hole Options1 Faucet Hole
_x0009_Guarantee2 year
_x0009_AssemblyWall hung
_x0009_Finish-FrontPET
_x0009_LightingNo
_x0009_Finish-BodyPET
_x0009_Tap Hole SideMiddle
_x0009_SyphonSyphon Included
_x0009_BrandVitrA
_x0009_FinishPET
_x0009_Soft closeYes
_x0009_Syphon Cut-OutYes
_x0009_Body ColorWhite high gloss
_x0009_GripRoot Bar Handle
_x0009_Washbasin colour12
_x0009_Number of Doors1
_x0009_Washbasin TypeRound vanity
</t>
  </si>
  <si>
    <t xml:space="preserve">Root Washbasin Unit, With One Drawer, 100 cm With Rounded Washbasin
Leigth/Depth : 451 mm
Width : 964 mm
Height : 395 mm
</t>
  </si>
  <si>
    <t>2438</t>
  </si>
  <si>
    <t>2438.00</t>
  </si>
  <si>
    <t>68255</t>
  </si>
  <si>
    <t>22648</t>
  </si>
  <si>
    <t>68256</t>
  </si>
  <si>
    <t>23054</t>
  </si>
  <si>
    <t>2047.00</t>
  </si>
  <si>
    <t>22622</t>
  </si>
  <si>
    <t>68209</t>
  </si>
  <si>
    <t>Root Washbasin Unit With One Drawer, 60 cm</t>
  </si>
  <si>
    <t xml:space="preserve">Root Washbasin Unit With One Drawer, 60 cm, With Rounded Washbasin Cordoba
&amp;nbsp;
_x0009_Height (mm)395
_x0009_Width (mm)564
_x0009_Depth (mm)451
_x0009_ColorCordoba
_x0009_DesignerVitrA Design Team
_x0009_Tap Hole Options1 Faucet Hole
_x0009_Guarantee2 year
_x0009_AssemblyWall hung
_x0009_Finish-FrontMelamine
_x0009_Body ColorCordoba
_x0009_LightingNo
_x0009_Finish-BodyMelamine
_x0009_Tap Hole SideMiddle
_x0009_SyphonSyphon Included
_x0009_BrandVitrA
_x0009_FinishPET
_x0009_Soft closeYes
_x0009_Syphon Cut-OutYes
_x0009_GripRoot Bar Handle
_x0009_Washbasin colour12
_x0009_Number of Doors1
_x0009_Washbasin TypeRound vanity
&amp;nbsp;
</t>
  </si>
  <si>
    <t xml:space="preserve">Root Washbasin Unit With One Drawer, 60 cm, With Rounded Washbasin Cordoba
</t>
  </si>
  <si>
    <t>1890.00</t>
  </si>
  <si>
    <t>66411</t>
  </si>
  <si>
    <t>22273</t>
  </si>
  <si>
    <t>1895.00</t>
  </si>
  <si>
    <t>66409</t>
  </si>
  <si>
    <t>22272</t>
  </si>
  <si>
    <t>Cordoba</t>
  </si>
  <si>
    <t>22275</t>
  </si>
  <si>
    <t>1934.00</t>
  </si>
  <si>
    <t>66415</t>
  </si>
  <si>
    <t>22841</t>
  </si>
  <si>
    <t>66414</t>
  </si>
  <si>
    <t>Root Washbasin Unit, With 1 Drawer, 60 cm With Angular Washbasin</t>
  </si>
  <si>
    <t xml:space="preserve">Root Washbasin Unit, With 1 Drawer, 60 cm With Angular Washbasin, Glossy White
&amp;nbsp;
_x0009_Height (mm)395
_x0009_Width (mm)564
_x0009_Depth (mm)451
_x0009_ColorGlossy white
_x0009_DesignerVitrA Design Team
_x0009_Tap Hole Options1 Faucet Hole
_x0009_Guarantee2 year
_x0009_AssemblyWall hung
_x0009_Finish-FrontPET
_x0009_LightingNo
_x0009_Finish-BodyPET
_x0009_Tap Hole SideMiddle
_x0009_SyphonSyphon Included
_x0009_BrandVitrA
_x0009_FinishPET
_x0009_Soft closeYes
_x0009_Syphon Cut-OutYes
_x0009_Body ColorWhite high gloss
_x0009_GripRoot Bar Handle
_x0009_Washbasin TypeAngular vanity
_x0009_Washbasin colour12
_x0009_Number of Doors1
</t>
  </si>
  <si>
    <t xml:space="preserve">Root Washbasin Unit, With 1 Drawer, 60 cm With Angular Washbasin Glossy white
length/Depth : 451 mm
Width : 564 mm
Height : 395 mm
</t>
  </si>
  <si>
    <t>66410</t>
  </si>
  <si>
    <t>22840</t>
  </si>
  <si>
    <t>1798.00</t>
  </si>
  <si>
    <t>66408</t>
  </si>
  <si>
    <t>22839</t>
  </si>
  <si>
    <t>68205</t>
  </si>
  <si>
    <t>22845</t>
  </si>
  <si>
    <t>23222</t>
  </si>
  <si>
    <t>66225</t>
  </si>
  <si>
    <t>Root Tall Unit, 40 cm</t>
  </si>
  <si>
    <t xml:space="preserve">Root Tall Unit, 40 cm Glossy White
&amp;nbsp;
_x0009_Height (mm)1800
_x0009_Width (mm)416
_x0009_Depth (mm)360
_x0009_ColorGlossy white
_x0009_DesignerVitrA Design Team
_x0009_Guarantee2 year
_x0009_AssemblyWall hung
_x0009_Finish-FrontPET
_x0009_CertificateCE
_x0009_LightingNo
_x0009_BrandVitrA
_x0009_FinishPET
_x0009_Soft closeYes
_x0009_Finish-BodyPET
_x0009_Body ColorWhite high gloss
_x0009_GripRoot Bar Handle
_x0009_Door Hinge PositionLeft-Right
_x0009_Cabinet Type2 Doors
_x0009_Number of Doors2
</t>
  </si>
  <si>
    <t xml:space="preserve">Root Tall Unit, 40 cm Glossy White
Length/Depth : 360 mm
Width : 416 mm
Height : 1800 mm
</t>
  </si>
  <si>
    <t>2429</t>
  </si>
  <si>
    <t>2429.00</t>
  </si>
  <si>
    <t>28964</t>
  </si>
  <si>
    <t>740-2225</t>
  </si>
  <si>
    <t>Root Round Control Panel-Brushed Gold</t>
  </si>
  <si>
    <t xml:space="preserve">Root Round Control Panel-Brushed Gold
&amp;nbsp;
_x0009_Height (mm)165
_x0009_Width (mm)244
_x0009_Depth (mm)8
_x0009_ColorBrushed Gold
_x0009_BrandVitrA
_x0009_Guarantee5 year
_x0009_Installation TypePre-Wall
_x0009_Mounting typePre-Wall
</t>
  </si>
  <si>
    <t xml:space="preserve">Root Round Control Panel-Brushed Gold
Length/Depth : 8 mm
Width : 244 mm
Height : 165 mm
</t>
  </si>
  <si>
    <t>169</t>
  </si>
  <si>
    <t>41</t>
  </si>
  <si>
    <t>Brushed Gold</t>
  </si>
  <si>
    <t>169.00</t>
  </si>
  <si>
    <t>29310</t>
  </si>
  <si>
    <t>183.00</t>
  </si>
  <si>
    <t>740-2200</t>
  </si>
  <si>
    <t>29322</t>
  </si>
  <si>
    <t>740-2325</t>
  </si>
  <si>
    <t>Root Square Control Panel, Brushed Gold</t>
  </si>
  <si>
    <t xml:space="preserve">Root Square Control Panel, Brushed Gold&amp;nbsp;
_x0009_Height (mm)165
_x0009_Width (mm)244
_x0009_Depth (mm)8
_x0009_ColorBrushed Gold
_x0009_BrandVitrA
_x0009_Guarantee5 year
_x0009_Installation TypePre-Wall
_x0009_Mounting typePre-Wall
</t>
  </si>
  <si>
    <t xml:space="preserve">Root Square Control Panel, Brushed Gold&amp;nbsp;
Length/Depth : 8 mm
Width : 244 mm
Height : 165 mm
</t>
  </si>
  <si>
    <t>29302</t>
  </si>
  <si>
    <t>Product test</t>
  </si>
  <si>
    <t>pk10</t>
  </si>
  <si>
    <t>ITALICA</t>
  </si>
  <si>
    <t xml:space="preserve">Category child </t>
  </si>
  <si>
    <t>Category Master Test</t>
  </si>
  <si>
    <t xml:space="preserve">Product test
</t>
  </si>
  <si>
    <t>Matt Clay</t>
  </si>
  <si>
    <t>Origin Basin Mix.</t>
  </si>
  <si>
    <t>531.52</t>
  </si>
  <si>
    <t>Copper</t>
  </si>
  <si>
    <t>635</t>
  </si>
  <si>
    <t>A4255626</t>
  </si>
  <si>
    <t>69</t>
  </si>
  <si>
    <t>920</t>
  </si>
  <si>
    <t>A4255634</t>
  </si>
  <si>
    <t>35</t>
  </si>
  <si>
    <t>A42556</t>
  </si>
  <si>
    <t>A4255636WTC</t>
  </si>
  <si>
    <t>37</t>
  </si>
  <si>
    <t>Origin Basin Mix. for Bowls</t>
  </si>
  <si>
    <t>764.23</t>
  </si>
  <si>
    <t>925</t>
  </si>
  <si>
    <t>A4255726</t>
  </si>
  <si>
    <t>38</t>
  </si>
  <si>
    <t>1160</t>
  </si>
  <si>
    <t>A4255734</t>
  </si>
  <si>
    <t>A42557</t>
  </si>
  <si>
    <t>A4255736</t>
  </si>
  <si>
    <t xml:space="preserve">Origin </t>
  </si>
  <si>
    <t>Origin</t>
  </si>
  <si>
    <t>A42582</t>
  </si>
  <si>
    <t>Origin Built-In Basin Mixer</t>
  </si>
  <si>
    <t xml:space="preserve">Origin Built-In Basin Mixer exposed part-Chrome
_x0009_Height (mm)58
_x0009_Width (mm)240
_x0009_Depth (mm)180
_x0009_Mounting typeBuilt-in
_x0009_BrandVitrA
_x0009_DesignerVitrA Design Team
_x0009_Guarantee10 year
_x0009_AwardsGood Design
_x0009_Spout Length150 - 180
_x0009_FinishChrome
_x0009_Recommended Minimum PressureMin:0.5-Max:10Recommended(1-5)
_x0009_AeratorShort
_x0009_Water Label ClassDark Green (0 &amp;lt; Flow Rate &amp;le; 6)
_x0009_ColorChrome
_x0009_CartridgeBasic
</t>
  </si>
  <si>
    <t xml:space="preserve">Origin Built-In Basin Mixer exposed part-Chrome
Length/depth: 180 mm
Width : 240 mm
Height : 58 mm
</t>
  </si>
  <si>
    <t>768</t>
  </si>
  <si>
    <t>768.00</t>
  </si>
  <si>
    <t>A4258226</t>
  </si>
  <si>
    <t>23050</t>
  </si>
  <si>
    <t>1090.00</t>
  </si>
  <si>
    <t>A4258234</t>
  </si>
  <si>
    <t>29113</t>
  </si>
  <si>
    <t>682.00</t>
  </si>
  <si>
    <t>24574</t>
  </si>
  <si>
    <t>Origin Basin Mix. 3 Hole</t>
  </si>
  <si>
    <t>911.52</t>
  </si>
  <si>
    <t>A4258326</t>
  </si>
  <si>
    <t>1350</t>
  </si>
  <si>
    <t>A4258334</t>
  </si>
  <si>
    <t>A42583</t>
  </si>
  <si>
    <t>820</t>
  </si>
  <si>
    <t>A4258336</t>
  </si>
  <si>
    <t>A42663</t>
  </si>
  <si>
    <t>Origin Basin Mixer For Monoblock</t>
  </si>
  <si>
    <t xml:space="preserve">Origin Basin Mixer For Monoblock-Chrome
_x0009_Height (mm)1075
_x0009_Width (mm)130
_x0009_Depth (mm)305
_x0009_Mounting typeFrom the Floor
_x0009_BrandVitrA
_x0009_AwardsGood Design
_x0009_Spout Length225
_x0009_FinishChrome
_x0009_Guarantee10 year
_x0009_Recommended Minimum PressureMin:0.5-Max:10Recommended(1-5)
_x0009_CartridgeBasic
_x0009_AeratorShort
_x0009_Water Label ClassDark Green (0 &amp;lt; Flow Rate &amp;le; 6)
_x0009_ColorChrome
_x0009_Spout Height1006000.000 MM
&amp;nbsp;
</t>
  </si>
  <si>
    <t xml:space="preserve">Origin Basin Mixer For Monoblock-Chrome
Length/Depth : 305 mm
Width : 130 mm
Height: 1075
</t>
  </si>
  <si>
    <t>4018</t>
  </si>
  <si>
    <t>4018.00</t>
  </si>
  <si>
    <t>A4266326</t>
  </si>
  <si>
    <t>29114</t>
  </si>
  <si>
    <t>3201.00</t>
  </si>
  <si>
    <t>24260</t>
  </si>
  <si>
    <t>A42680</t>
  </si>
  <si>
    <t>Origin Spout-For Ceiling Mounted</t>
  </si>
  <si>
    <t xml:space="preserve">Origin Spout-For Ceiling Mounted-Chrome
To control from counter A42682 should be used
To control from wall A42621 should be used&amp;nbsp;
&amp;nbsp;
_x0009_Height (mm)1295
_x0009_Width (mm)85
_x0009_Depth (mm)85
_x0009_Mounting typeFrom the Ceiling
_x0009_BrandVitrA
_x0009_AwardsGood Design
_x0009_FinishChrome
_x0009_Guarantee10 year
_x0009_Recommended Minimum PressureMin:0.5-Max:10Recommended(1-5)
_x0009_Spout Height1295.000 MM
_x0009_AeratorHidden,Silicon
_x0009_Water Label ClassDark Green (0 &amp;lt; Flow Rate &amp;le; 6)
_x0009_ColorChrome
&amp;nbsp;
</t>
  </si>
  <si>
    <t xml:space="preserve">Origin Spout-For Ceiling Mounted-Chrome
To control from counter A42682 should be used
To control from wall A42621 should be used&amp;nbsp;
Leigth/Depth : 85 mm
Width : 85 mm
Height : 1295 mm
</t>
  </si>
  <si>
    <t>1320</t>
  </si>
  <si>
    <t>1320.00</t>
  </si>
  <si>
    <t>A4268026</t>
  </si>
  <si>
    <t>23064</t>
  </si>
  <si>
    <t>1215.00</t>
  </si>
  <si>
    <t>24608</t>
  </si>
  <si>
    <t>1762.00</t>
  </si>
  <si>
    <t>A4268036</t>
  </si>
  <si>
    <t>23066</t>
  </si>
  <si>
    <t>A4288225</t>
  </si>
  <si>
    <t>Origin Classic Basin Mixer</t>
  </si>
  <si>
    <t xml:space="preserve">Origin Classic Basin Mixer-Brushed Gold
&amp;nbsp;
_x0009_Height (mm)280
_x0009_Width (mm)58
_x0009_Depth (mm)168
_x0009_BrandVitrA
_x0009_ColorBrushed Gold
_x0009_FinishPVD
_x0009_DesignerVitrA Design Team
_x0009_Guarantee5 year
_x0009_Mounting typeCountertop
_x0009_Spout Length140
_x0009_Recommended Minimum PressureMin:0.5-Max:10Recommended(1-5)
_x0009_CartridgeBasic
_x0009_AeratorHidden
</t>
  </si>
  <si>
    <t xml:space="preserve">Origin Classic Basin Mixer-Brushed Gold
Leigth/Depth : 168 mm
Width : 58 mm
Height : 280 mm
&amp;nbsp;
</t>
  </si>
  <si>
    <t>1850</t>
  </si>
  <si>
    <t>1850.00</t>
  </si>
  <si>
    <t>40154</t>
  </si>
  <si>
    <t>A4288229</t>
  </si>
  <si>
    <t>39475</t>
  </si>
  <si>
    <t>1458.00</t>
  </si>
  <si>
    <t>A4288236</t>
  </si>
  <si>
    <t>29421</t>
  </si>
  <si>
    <t>A42682</t>
  </si>
  <si>
    <t>Origin Lever-Set Basin</t>
  </si>
  <si>
    <t xml:space="preserve">Origin Lever-Set Basin, Chrome
&amp;nbsp;
_x0009_Height (mm)77
_x0009_Width (mm)36
_x0009_Depth (mm)80
_x0009_Mounting typeCountertop
_x0009_BrandVitrA
_x0009_FinishChrome
_x0009_Guarantee10 year
_x0009_Recommended Minimum PressureMin:0.5-Max:10Recommended(1-5)
_x0009_CartridgeBasic
_x0009_ColorChrome
&amp;nbsp;
</t>
  </si>
  <si>
    <t xml:space="preserve">Origin Lever-Set Basin, Chrome
Leigth/Depth : 80 mm
Width : 36 mm
Height : 77 mm
</t>
  </si>
  <si>
    <t>410</t>
  </si>
  <si>
    <t>47</t>
  </si>
  <si>
    <t>485</t>
  </si>
  <si>
    <t>A4268226</t>
  </si>
  <si>
    <t>23069</t>
  </si>
  <si>
    <t>595</t>
  </si>
  <si>
    <t>A4268234</t>
  </si>
  <si>
    <t>24011</t>
  </si>
  <si>
    <t>23068</t>
  </si>
  <si>
    <t>810</t>
  </si>
  <si>
    <t>A4268236</t>
  </si>
  <si>
    <t>24009</t>
  </si>
  <si>
    <t>A4262126</t>
  </si>
  <si>
    <t>Origin Shower Mixer</t>
  </si>
  <si>
    <t xml:space="preserve">Origin Built-in Bath/Shower Mixer (exposed part)-Copper
Concealed part A42213 must be installed during the application
Concealed part is not included, should ordered separately
&amp;nbsp;
_x0009_Height (mm)137
_x0009_Width (mm)120
_x0009_Depth (mm)66
_x0009_ColorSoft Copper
_x0009_Mounting typeBuilt-in
_x0009_BrandVitrA
_x0009_DesignerVitrA Design Team
_x0009_FinishPVD
_x0009_Guarantee5 year
_x0009_Recommended Minimum PressureMin:0.5-Max:10Recommended(1-5)
_x0009_Water Label ClassRed (&amp;gt;13)
</t>
  </si>
  <si>
    <t xml:space="preserve">Origin Built-in Bath/Shower Mixer (exposed part)-Copper
Concealed part A42213 must be installed during the application
Concealed part is not included, should ordered separately
Leigth/Depth : 66 mm
Width : 120 mm
Height : 137 mm
</t>
  </si>
  <si>
    <t>435</t>
  </si>
  <si>
    <t>29204</t>
  </si>
  <si>
    <t>545</t>
  </si>
  <si>
    <t>A4262134</t>
  </si>
  <si>
    <t>29108</t>
  </si>
  <si>
    <t>515</t>
  </si>
  <si>
    <t>19</t>
  </si>
  <si>
    <t>A4288936</t>
  </si>
  <si>
    <t>Origin Classic Built-In Basin Mixer</t>
  </si>
  <si>
    <t xml:space="preserve">Origin Classic Built-In Basin Mixer With Two Hole-Matt Black
A42230 concealed part must be installed during wall application
Concealed part is not included
&amp;nbsp;
_x0009_Height (mm)181
_x0009_Width (mm)185
_x0009_Depth (mm)80
_x0009_ColorMatt Black
_x0009_BrandVitrA
_x0009_FinishMatte Black
_x0009_DesignerVitrA Design Team
_x0009_Guarantee5 year
_x0009_Mounting typeBuilt-in
_x0009_Spout Length151
_x0009_Recommended Minimum PressureMin:0.5-Max:10Recommended(1-5)
_x0009_AeratorHidden
</t>
  </si>
  <si>
    <t xml:space="preserve">Origin Classic Built-In Basin Mixer With Two Hole-Matt Black
Length/Depth : 80 mm
Width : 185 mm
Height : 181 mm
</t>
  </si>
  <si>
    <t>1380</t>
  </si>
  <si>
    <t>40063</t>
  </si>
  <si>
    <t>A4289029</t>
  </si>
  <si>
    <t xml:space="preserve">Origin Classic Basin Mixer with 3 hole -Copper&amp;nbsp;
&amp;nbsp;
_x0009_Height (mm)58
_x0009_Width (mm)238
_x0009_Depth (mm)185
_x0009_ColorSoft Copper
_x0009_Mounting typeWall Mounted
_x0009_BrandVitrA
_x0009_Spout Length173
_x0009_FinishPVD
_x0009_Recommended Minimum PressureMin:0.5-Max:10Recommended(1-5)
_x0009_AeratorHidden,Silicon
_x0009_Water Label ClassDark Green (0 &amp;lt; Flow Rate &amp;le; 6)
_x0009_DesignerVitrA Design Team
_x0009_Guarantee5 year
</t>
  </si>
  <si>
    <t xml:space="preserve">Origin Classic Basin Mixer with 3 hole -Copper
Leigth/Depth : 185 mm
Width : 238 mm
Height : 58 mm
</t>
  </si>
  <si>
    <t>1065</t>
  </si>
  <si>
    <t>A4289025</t>
  </si>
  <si>
    <t>40124</t>
  </si>
  <si>
    <t>39476</t>
  </si>
  <si>
    <t>A4289036</t>
  </si>
  <si>
    <t>40062</t>
  </si>
  <si>
    <t>A47214</t>
  </si>
  <si>
    <t>Origin Touchless Basin Tap w/battery</t>
  </si>
  <si>
    <t xml:space="preserve">Origin Touchless Basin Tap w/battery-Chrome
&amp;nbsp;
_x0009_Height (mm)175
_x0009_Width (mm)36
_x0009_Depth (mm)158
_x0009_BrandVitrA
_x0009_DesignerVitrA Design Team
_x0009_Power sourceBattery operated
_x0009_FinishChrome
_x0009_Guarantee2 year
_x0009_Mounting typeCountertop
_x0009_Spout Length125
_x0009_Recommended Minimum PressureMin:0.5-Max:8 Recommended(1-5)
_x0009_CartridgeBasic
_x0009_AeratorShort
_x0009_Water Label ClassDark Green (0 &amp;lt; Flow Rate &amp;le; 6)
_x0009_Driver IPIP 67
_x0009_ColorChrome
_x0009_Spout Height140000.000 MM
_x0009_CertificateREACH
</t>
  </si>
  <si>
    <t xml:space="preserve">Origin Touchless Basin Tap w/battery-Chrome
Leigth/Depth : 158 mm
Width : 36 mm
Height : 175 mm
</t>
  </si>
  <si>
    <t>1315</t>
  </si>
  <si>
    <t>1510</t>
  </si>
  <si>
    <t>A4721426</t>
  </si>
  <si>
    <t>23104</t>
  </si>
  <si>
    <t>23314</t>
  </si>
  <si>
    <t>Plural</t>
  </si>
  <si>
    <t>plural</t>
  </si>
  <si>
    <t>7830B403-0075</t>
  </si>
  <si>
    <t>Plural Rim-ex wall-hung WC pan, hidden fixation, 55 cm</t>
  </si>
  <si>
    <t xml:space="preserve">Plural Rim-ex wall-hung WC pan, hidden fixation, 55 cm-white without seat cover .
_x0009_Height (mm) 345
_x0009_Width (mm) 360
_x0009_Depth (mm) 545
_x0009_Color White
_x0009_Designer Terri Pecora
_x0009_Awards EDIDA Turkey, Good Design, IF Design, Product Innovation Bath. GOLD
_x0009_Brand VitrA
_x0009_Finish VitraClean
_x0009_Bidet pipe access Without bidet pipe
</t>
  </si>
  <si>
    <t>2010</t>
  </si>
  <si>
    <t>2390</t>
  </si>
  <si>
    <t>7830B420-0075</t>
  </si>
  <si>
    <t>23466</t>
  </si>
  <si>
    <t>22619</t>
  </si>
  <si>
    <t>2645</t>
  </si>
  <si>
    <t>7830B483-0075</t>
  </si>
  <si>
    <t>18778</t>
  </si>
  <si>
    <t>A4721826</t>
  </si>
  <si>
    <t>Origin Touch Free Long Basin Mixer</t>
  </si>
  <si>
    <t xml:space="preserve">Origin Touch Free Long Basin Mixer-Copper
_x0009_
_x0009__x0009_
_x0009__x0009__x0009_Type
_x0009__x0009__x0009_Bathroom Tap
_x0009__x0009_
_x0009__x0009_
_x0009__x0009__x0009_Tap Type
_x0009__x0009__x0009_Basin Mixer
_x0009__x0009_
_x0009__x0009_
_x0009__x0009__x0009_Fixture
_x0009__x0009__x0009_Basin
_x0009__x0009_
_x0009__x0009_
_x0009__x0009__x0009_Depth
_x0009__x0009__x0009_180-205mm
_x0009__x0009_
_x0009__x0009_
_x0009__x0009__x0009_Spout Height
_x0009__x0009__x0009_58mm
_x0009__x0009_
_x0009__x0009_
_x0009__x0009__x0009_Spout Width
_x0009__x0009__x0009_58mm
_x0009__x0009_
_x0009__x0009_
_x0009__x0009__x0009_Spout Reach
_x0009__x0009__x0009_165-190mm
_x0009__x0009_
_x0009__x0009_
_x0009__x0009__x0009_Tap Operation
_x0009__x0009__x0009_Infra-red
_x0009__x0009_
_x0009__x0009_
_x0009__x0009__x0009_Minimum Pressure
_x0009__x0009__x0009_0.5 Bar
_x0009__x0009_
_x0009__x0009_
_x0009__x0009__x0009_Tap Hole
_x0009__x0009__x0009_1
_x0009__x0009_
_x0009__x0009_
_x0009__x0009__x0009_Tap Body Shape
_x0009__x0009__x0009_Round
_x0009__x0009_
_x0009__x0009_
_x0009__x0009__x0009_Mounting
_x0009__x0009__x0009_Wall
_x0009__x0009_
_x0009__x0009_
_x0009__x0009__x0009_Tap Valve Type
_x0009__x0009__x0009_Manual
_x0009__x0009_
_x0009__x0009_
_x0009__x0009__x0009_Finish
_x0009__x0009__x0009_Copper
_x0009__x0009_
_x0009__x0009_
_x0009__x0009__x0009_Material
_x0009__x0009__x0009_Brass
_x0009__x0009_
_x0009__x0009_
_x0009__x0009__x0009_Collection
_x0009__x0009__x0009_Origin
_x0009__x0009_
_x0009__x0009_
_x0009__x0009__x0009_Style
_x0009__x0009__x0009_Modern
_x0009__x0009_
_x0009__x0009_
_x0009__x0009__x0009_Manufacturer Part Number
_x0009__x0009__x0009_A4721826
_x0009__x0009_
_x0009_
</t>
  </si>
  <si>
    <t xml:space="preserve">Origin Touch Free Long Basin Mixer-Copper
&amp;nbsp;
_x0009_
_x0009__x0009_
_x0009__x0009__x0009_Type
_x0009__x0009__x0009_Bathroom Tap
_x0009__x0009_
_x0009__x0009_
_x0009__x0009__x0009_Tap Type
_x0009__x0009__x0009_Basin Mixer
_x0009__x0009_
_x0009__x0009_
_x0009__x0009__x0009_Fixture
_x0009__x0009__x0009_Basin
_x0009__x0009_
_x0009__x0009_
_x0009__x0009__x0009_Depth
_x0009__x0009__x0009_180-205mm
_x0009__x0009_
_x0009__x0009_
_x0009__x0009__x0009_Spout Height
_x0009__x0009__x0009_58mm
_x0009__x0009_
_x0009__x0009_
_x0009__x0009__x0009_Spout Width
_x0009__x0009__x0009_58mm
_x0009__x0009_
_x0009__x0009_
_x0009__x0009__x0009_Spout Reach
_x0009__x0009__x0009_165-190mm
_x0009__x0009_
_x0009__x0009_
_x0009__x0009__x0009_Tap Operation
_x0009__x0009__x0009_Infra-red
_x0009__x0009_
_x0009__x0009_
_x0009__x0009__x0009_Minimum Pressure
_x0009__x0009__x0009_0.5 Bar
_x0009__x0009_
_x0009__x0009_
_x0009__x0009__x0009_Tap Hole
_x0009__x0009__x0009_1
_x0009__x0009_
_x0009__x0009_
_x0009__x0009__x0009_Tap Body Shape
_x0009__x0009__x0009_Round
_x0009__x0009_
_x0009__x0009_
_x0009__x0009__x0009_Mounting
_x0009__x0009__x0009_Wall
_x0009__x0009_
_x0009__x0009_
_x0009__x0009__x0009_Tap Valve Type
_x0009__x0009__x0009_Manual
_x0009__x0009_
_x0009__x0009_
_x0009__x0009__x0009_Finish
_x0009__x0009__x0009_Copper
_x0009__x0009_
_x0009__x0009_
_x0009__x0009__x0009_Material
_x0009__x0009__x0009_Brass
_x0009__x0009_
_x0009__x0009_
_x0009__x0009__x0009_Collection
_x0009__x0009__x0009_Origin
_x0009__x0009_
_x0009__x0009_
_x0009__x0009__x0009_Style
_x0009__x0009__x0009_Modern
_x0009__x0009_
_x0009__x0009_
_x0009__x0009__x0009_Manufacturer Part Number
_x0009__x0009__x0009_A4721826
_x0009__x0009_
_x0009_
Product Data
</t>
  </si>
  <si>
    <t>1885</t>
  </si>
  <si>
    <t>22984</t>
  </si>
  <si>
    <t>A47222</t>
  </si>
  <si>
    <t>Origin Touchless Basin Mixer Tap w/Battery</t>
  </si>
  <si>
    <t xml:space="preserve">Origin Touchless Basin Mixer Tap w/Battery -Chrome
_x0009_Height (mm)320
_x0009_Width (mm)58
_x0009_Depth (mm)178
_x0009_BrandVitrA
_x0009_DesignerVitrA Design Team
_x0009_Power sourceBattery operated
_x0009_FinishChrome
_x0009_Guarantee2 year
_x0009_Mounting typeCountertop
_x0009_Spout Length145
_x0009_Recommended Minimum PressureMin:0.5-Max:8 Recommended(1-5)
_x0009_CartridgeBasic
_x0009_AeratorShort
_x0009_Water Label ClassDark Green (0 &amp;lt; Flow Rate &amp;le; 6)
_x0009_Driver IPIP 67
_x0009_ColorChrome
_x0009_Spout Height285000.000 MM
</t>
  </si>
  <si>
    <t xml:space="preserve">Origin Touchless Basin Mixer Tap w/Battery -Chrome
Leigth/Depth :178 mm
Width : 58 mm
Height : 320 mm
</t>
  </si>
  <si>
    <t>2650</t>
  </si>
  <si>
    <t>A4722226</t>
  </si>
  <si>
    <t>23107</t>
  </si>
  <si>
    <t>23106</t>
  </si>
  <si>
    <t>3470</t>
  </si>
  <si>
    <t>A4722236</t>
  </si>
  <si>
    <t>24016</t>
  </si>
  <si>
    <t>A42625</t>
  </si>
  <si>
    <t>Built-In Hand Shower Outlet</t>
  </si>
  <si>
    <t xml:space="preserve">Built-In Hand Shower Outlet&amp;nbsp;-Chrome
_x0009_Height (mm)90
_x0009_Width (mm)90
_x0009_Depth (mm)80
_x0009_Guarantee5 year
_x0009_FinishChrome
_x0009_BrandVitrA
_x0009_AwardsGood Design
_x0009_Spout Length35
_x0009_CertificateACS, WRAS
_x0009_Recommended Minimum PressureMin:0.5-Max:10Recommended(1-5)
_x0009_Water Label ClassRed (&amp;gt;13)
_x0009_Mounting typeBuilt-in
_x0009_ColorChrome
_x0009_DesignerVitrA Design Team
</t>
  </si>
  <si>
    <t xml:space="preserve">Built-In Hand Shower Outlet&amp;nbsp;-Chrome
Leigth/Depth : 80 mm
Width : 90 mm
Height : 90 mm
</t>
  </si>
  <si>
    <t>225</t>
  </si>
  <si>
    <t>A4262526</t>
  </si>
  <si>
    <t>70</t>
  </si>
  <si>
    <t>24079</t>
  </si>
  <si>
    <t>375</t>
  </si>
  <si>
    <t>A4262534</t>
  </si>
  <si>
    <t>23980</t>
  </si>
  <si>
    <t>23406</t>
  </si>
  <si>
    <t>A4262536</t>
  </si>
  <si>
    <t>168</t>
  </si>
  <si>
    <t>23984</t>
  </si>
  <si>
    <t>Voyage</t>
  </si>
  <si>
    <t>A4479854</t>
  </si>
  <si>
    <t>Voyage Bathrobe holder</t>
  </si>
  <si>
    <t xml:space="preserve">Voyage Bathrobe holder, double, taupe with black hooks
Lenght/Depth: 82mm
Width: 454mm
Hight: 154mm
&amp;nbsp;
</t>
  </si>
  <si>
    <t xml:space="preserve">Voyage Bathrobe holder, double, taupe with black hooks
Lenght/Depth: 82mm
Width: 454mm
Hight: 154mm
</t>
  </si>
  <si>
    <t>875</t>
  </si>
  <si>
    <t>Taupe</t>
  </si>
  <si>
    <t>20502</t>
  </si>
  <si>
    <t>A45223EXP</t>
  </si>
  <si>
    <t>Wall Mounted Handshower Outlet</t>
  </si>
  <si>
    <t xml:space="preserve">Wall Mounted Handshower Outlet- Chrome
&amp;nbsp;
_x0009_Height (mm)65
_x0009_Width (mm)65
_x0009_Depth (mm)45
_x0009_BrandVitrA
_x0009_FinishChrome
_x0009_Recommended Minimum PressureMin:0.5-Max:10Recommended(1-5)
_x0009_Water Label ClassRed (&amp;gt;13)
_x0009_CertificateWRAS
_x0009_ColorChrome
_x0009_Guarantee5 year
_x0009_Mounting typeBuilt-in
</t>
  </si>
  <si>
    <t xml:space="preserve">Wall Mounted Handshower Outlet- Chrome
Leigth/Depth : 45 mm
Width : 65 mm
height : 65 mm
</t>
  </si>
  <si>
    <t>125</t>
  </si>
  <si>
    <t>682</t>
  </si>
  <si>
    <t>165</t>
  </si>
  <si>
    <t>A4522326</t>
  </si>
  <si>
    <t>24624</t>
  </si>
  <si>
    <t>185</t>
  </si>
  <si>
    <t>A4522334</t>
  </si>
  <si>
    <t>111</t>
  </si>
  <si>
    <t>19982</t>
  </si>
  <si>
    <t>23387</t>
  </si>
  <si>
    <t>230</t>
  </si>
  <si>
    <t>57</t>
  </si>
  <si>
    <t>A4522323</t>
  </si>
  <si>
    <t>21764</t>
  </si>
  <si>
    <t>A4563826</t>
  </si>
  <si>
    <t>Origin Round Showerhead</t>
  </si>
  <si>
    <t xml:space="preserve">Origin Round Showerhead Polished copper
_x0009_Height (mm)51
_x0009_Width (mm)250
_x0009_Depth (mm)250
_x0009_ColorSoft Copper
_x0009_BrandVitrA
_x0009_FinishPVD
_x0009_Guarantee5 year
_x0009_DesignerVitrA Design Team
_x0009_Recommended Minimum Pressure0.5-5 Bar(Recommended 1-3 Bar)
_x0009_Mounting typeFrom the Ceiling
_x0009_CertificateREACH
</t>
  </si>
  <si>
    <t xml:space="preserve">Origin Round Showerhead Polished copper
Leigth/Depth : 250 mm
Width : 250 mm
Height : 51 mm
</t>
  </si>
  <si>
    <t>745</t>
  </si>
  <si>
    <t>110</t>
  </si>
  <si>
    <t>24620</t>
  </si>
  <si>
    <t>A4563834</t>
  </si>
  <si>
    <t>24105</t>
  </si>
  <si>
    <t>A4554326</t>
  </si>
  <si>
    <t>Origin 1F Handshower Set</t>
  </si>
  <si>
    <t xml:space="preserve">Origin 1F Handshower Set Polished Copper
_x0009_Height (mm)242
_x0009_Width (mm)97
_x0009_Depth (mm)80
_x0009_ColorSoft Copper
_x0009_BrandVitrA
_x0009_FinishPVD
_x0009_Guarantee5 year
_x0009_DesignerVitrA Design Team
_x0009_Recommended Minimum Pressure0.5-5 Bar(Recommended 1-3 Bar)
_x0009_Mounting typeWall Mounted
_x0009_CertificateREACH
</t>
  </si>
  <si>
    <t xml:space="preserve">Origin 1F Handshower Set Polished Copper
Leigth/Depth : 80 mm
Width : 97 mm
Height : 242 mm
</t>
  </si>
  <si>
    <t>490</t>
  </si>
  <si>
    <t>24623</t>
  </si>
  <si>
    <t>A4554334</t>
  </si>
  <si>
    <t>24561</t>
  </si>
  <si>
    <t>665</t>
  </si>
  <si>
    <t>A4554339</t>
  </si>
  <si>
    <t>29344</t>
  </si>
  <si>
    <t>A42620</t>
  </si>
  <si>
    <t>Origin Built-in Shower Mixer</t>
  </si>
  <si>
    <t xml:space="preserve">Origin Built-in Shower Mixer, (Counter Mounted)- Chrome
Concealed part A41949 must be installed during wall application&amp;nbsp;
Concealed part is not included, should ordered separately
_x0009_Height (mm)194
_x0009_Width (mm)170
_x0009_Depth (mm)65
_x0009_Mounting typeBuilt-in
_x0009_BrandVitrA
_x0009_DesignerVitrA Design Team
_x0009_Guarantee10 year
_x0009_AwardsGood Design
_x0009_FinishChrome
_x0009_Recommended Minimum PressureMin:0.5-Max:10Recommended(1-5)
_x0009_ColorChrome
_x0009_Water Label ClassRed (&amp;gt;13)
&amp;nbsp;
</t>
  </si>
  <si>
    <t xml:space="preserve">Origin Built-in Shower Mixer, (Counter Mounted)- Chrome
Concealed part&amp;nbsp;A41949&amp;nbsp;must be installed during wall application&amp;nbsp;
Concealed part is not included, should ordered separately
Leigth/Depth : 65 mm
Width : 170 mm
Height : 194 mm
</t>
  </si>
  <si>
    <t>385</t>
  </si>
  <si>
    <t>A4262026</t>
  </si>
  <si>
    <t>24599</t>
  </si>
  <si>
    <t>A4262034</t>
  </si>
  <si>
    <t>22999</t>
  </si>
  <si>
    <t>23209</t>
  </si>
  <si>
    <t>780</t>
  </si>
  <si>
    <t>A4262036</t>
  </si>
  <si>
    <t>19424</t>
  </si>
  <si>
    <t>A4579425</t>
  </si>
  <si>
    <t>Origin Classic Headshower</t>
  </si>
  <si>
    <t xml:space="preserve">Origin Classic Headshower - Brushed Gold
_x0009_Height (mm)68
_x0009_Width (mm)250
_x0009_Depth (mm)250
_x0009_ColorBrushed Gold
_x0009_BrandVitrA
_x0009_FinishPVD
_x0009_DesignerVitrA Design Team
_x0009_Guarantee5 year
_x0009_Recommended Minimum Pressure0.5-5 Bar(Recommended 1-3 Bar)
_x0009_Mounting typeFrom the Ceiling
_x0009_CertificateREACH
&amp;nbsp;
</t>
  </si>
  <si>
    <t xml:space="preserve">Origin Classic Headshower - Brushed Gold
leigth/Depth : 250 mm
Width : 250 mm
Height : 68 mm
</t>
  </si>
  <si>
    <t>1275</t>
  </si>
  <si>
    <t>29328</t>
  </si>
  <si>
    <t>A4579625</t>
  </si>
  <si>
    <t>Origin Classic Handshower with Rail</t>
  </si>
  <si>
    <t xml:space="preserve">Origin Classic Handshower with Rail Brushed Gold
_x0009_Height (mm)725
_x0009_Width (mm)120
_x0009_Depth (mm)92
_x0009_ColorBrushed Gold
_x0009_BrandVitrA
_x0009_DesignerVitrA Design Team
_x0009_Guarantee5 year
_x0009_FinishPVD
_x0009_Recommended Minimum Pressure0.5-5 Bar(Recommended 1-3 Bar)
_x0009_Mounting typeWall Mounted
_x0009_CertificateREACH
</t>
  </si>
  <si>
    <t xml:space="preserve">Origin Classic Handshower with Rail Brushed Gold
leigth/Depth : 92 mm
Width : 120 mm
Height : 725 mm
</t>
  </si>
  <si>
    <t>1720</t>
  </si>
  <si>
    <t>29329</t>
  </si>
  <si>
    <t>A4479357</t>
  </si>
  <si>
    <t>Voyage Roll holder Lenght/Depth: 148mm Width: 164mm Height: 347mm</t>
  </si>
  <si>
    <t xml:space="preserve">Voyage Roll holder, Tempered glass main body white Chrome
</t>
  </si>
  <si>
    <t>20501</t>
  </si>
  <si>
    <t>A4579336</t>
  </si>
  <si>
    <t>Origin Classic Mechanic shower column with handshower</t>
  </si>
  <si>
    <t xml:space="preserve">Origin Classic Mechanic shower column with handshower Matt black
_x0009_Height (mm)1260
_x0009_Width (mm)250
_x0009_Depth (mm)548
_x0009_ColorMatt Black
_x0009_BrandVitrA
_x0009_FinishMatte Black
_x0009_DesignerVitrA Design Team
_x0009_Guarantee5 year
_x0009_Recommended Minimum Pressure0.5-5 Bar(Recommended 1-3 Bar)
_x0009_Mounting typeWall Mounted
</t>
  </si>
  <si>
    <t xml:space="preserve">Origin Classic Mechanic shower column with handshower Matt black
Leigth/Depth : 548 mm
Width : 250 mm
Height : 1260 mm
</t>
  </si>
  <si>
    <t>3630</t>
  </si>
  <si>
    <t>2905</t>
  </si>
  <si>
    <t>A4579329</t>
  </si>
  <si>
    <t>29314</t>
  </si>
  <si>
    <t>28834</t>
  </si>
  <si>
    <t>A4479257</t>
  </si>
  <si>
    <t xml:space="preserve">Voyage WC brush holder
Lenght/Depth: 148mm
Width: 144mm
Height: 420</t>
  </si>
  <si>
    <t xml:space="preserve">Voyage WC brush holder, Chrome White&amp;nbsp;
_x0009_
_x0009__x0009_
_x0009_
_x0009_
_x0009__x0009_
_x0009__x0009__x0009_&amp;nbsp;
_x0009__x0009_
_x0009__x0009_
_x0009__x0009__x0009_&amp;nbsp;
_x0009__x0009_
_x0009_
&amp;nbsp;
</t>
  </si>
  <si>
    <t xml:space="preserve">Voyage WC brush holder, Chrome White
</t>
  </si>
  <si>
    <t>1030</t>
  </si>
  <si>
    <t>24026</t>
  </si>
  <si>
    <t>A4479236</t>
  </si>
  <si>
    <t xml:space="preserve">Voyage WC brush holder
Length/Depth: 148mm
Width: 144mm
Height: 420mm</t>
  </si>
  <si>
    <t xml:space="preserve">Voyage WC brush holder, black
</t>
  </si>
  <si>
    <t>1285</t>
  </si>
  <si>
    <t>31</t>
  </si>
  <si>
    <t>23738</t>
  </si>
  <si>
    <t>A45805</t>
  </si>
  <si>
    <t>Origin Shower System</t>
  </si>
  <si>
    <t xml:space="preserve">Vitra Origin shower system A45805 d = 250mm, with rain shower, taupe glass body / matt black fitting
_x0009_Body made of glass with shelf on the side
_x0009_Anti-limescale shower head
_x0009_with hand shower set with anti-limescale
</t>
  </si>
  <si>
    <t>2820</t>
  </si>
  <si>
    <t>24568</t>
  </si>
  <si>
    <t>A4479336</t>
  </si>
  <si>
    <t xml:space="preserve">Voyage Roll holder
Length/Depth: 148mm
Width: 164mm
Height: 347</t>
  </si>
  <si>
    <t xml:space="preserve">Voyage Roll holder, Tempered glass main body black
</t>
  </si>
  <si>
    <t>935</t>
  </si>
  <si>
    <t>24610</t>
  </si>
  <si>
    <t>Istanbul 190x90 Oval MB Auto.Sip+Leg-Exp</t>
  </si>
  <si>
    <t>53000001000</t>
  </si>
  <si>
    <t>bathtubs</t>
  </si>
  <si>
    <t>Bathing Areas</t>
  </si>
  <si>
    <t xml:space="preserve">
Height (mm)
585
Width (mm)
1900
Depth (mm)
900
Designer
Ross Lovegrove
Color
White
Certificate
CE
Brand
VitrA
Shape
Oval
Finish
Standard
Syphon option
No
Guarantee
2 year
</t>
  </si>
  <si>
    <t>7487.77</t>
  </si>
  <si>
    <t>23002</t>
  </si>
  <si>
    <t>Arkitekta Trash Box-5 L</t>
  </si>
  <si>
    <t>A44055</t>
  </si>
  <si>
    <t>Bathroom Waste Bins</t>
  </si>
  <si>
    <t xml:space="preserve">
Height (mm)
295
Width (mm)
180
Brand
VitrA
Finish
Polished Stainless Steel
Mounting type
From the Floor
Color
Chrome
Designer
VitrA Design Team
</t>
  </si>
  <si>
    <t>165.32</t>
  </si>
  <si>
    <t>23908</t>
  </si>
  <si>
    <t>Arkıtekta Paper Dıspenser</t>
  </si>
  <si>
    <t>A44970</t>
  </si>
  <si>
    <t xml:space="preserve">
Height (mm)
260
Width (mm)
260
Color
Stainless Steel
Brand
VitrA
Finish
Stainless steel
Mounting type
Wall Mounted
Designer
VitrA Design Team
</t>
  </si>
  <si>
    <t>1963.75</t>
  </si>
  <si>
    <t>Stainless Steel</t>
  </si>
  <si>
    <t>23764</t>
  </si>
  <si>
    <t>A44066</t>
  </si>
  <si>
    <t xml:space="preserve">
Height (mm)
680
Width (mm)
450
Brand
VitrA
Finish
Polished Stainless Steel
Mounting type
From the Floor
Color
Chrome
Designer
VitrA Design Team
</t>
  </si>
  <si>
    <t>162.24</t>
  </si>
  <si>
    <t>23682</t>
  </si>
  <si>
    <t>Small Bathrobe Holder_Glossy Black</t>
  </si>
  <si>
    <t>A4430639</t>
  </si>
  <si>
    <t>Bathrobe Hooks</t>
  </si>
  <si>
    <t xml:space="preserve">
Height (mm)
46
Width (mm)
46
Brand
VitrA
Mounting type
Wall Mounted
Finish
PVD
Color
Glossy Black
Designer
Sebastian Conran
</t>
  </si>
  <si>
    <t>224.97</t>
  </si>
  <si>
    <t>Glossy Black</t>
  </si>
  <si>
    <t>28876</t>
  </si>
  <si>
    <t>Istanbul Bathrobe Holder-Single</t>
  </si>
  <si>
    <t>A48003</t>
  </si>
  <si>
    <t xml:space="preserve">
Height (mm)
76
Width (mm)
62
Brand
VitrA
Mounting type
Wall Mounted
Awards
Design Plus
Designer
Ross Lovegrove
Finish
Chrome
Color
Chrome
Certificate
REACH
</t>
  </si>
  <si>
    <t>316.64</t>
  </si>
  <si>
    <t>23782</t>
  </si>
  <si>
    <t>Minimax Bathrobe Holder-Single</t>
  </si>
  <si>
    <t>A44787</t>
  </si>
  <si>
    <t xml:space="preserve">
Height (mm)
50
Width (mm)
45
Brand
VitrA
Mounting type
Wall Mounted
Finish
Chrome
Color
Chrome
Designer
VitrA Design Team
</t>
  </si>
  <si>
    <t>43.22</t>
  </si>
  <si>
    <t>24116</t>
  </si>
  <si>
    <t>Liquid Bathrobe Holder</t>
  </si>
  <si>
    <t>A44568</t>
  </si>
  <si>
    <t xml:space="preserve">
Height (mm)
77
Width (mm)
105
Brand
VitrA
Mounting type
Wall Mounted
Designer
Tom Dixon
Awards
Wallpaper* Design
Finish
Chrome
Color
Chrome
</t>
  </si>
  <si>
    <t>220.77</t>
  </si>
  <si>
    <t>20490</t>
  </si>
  <si>
    <t>Origin Bathrobe Holder-Single</t>
  </si>
  <si>
    <t>A4488434</t>
  </si>
  <si>
    <t xml:space="preserve">
Height (mm)
58
Width (mm)
58
Brand
VitrA
Awards
Good Design
Finish
Stainless steel
Mounting type
Wall Mounted
Color
Brushed Nickel
Designer
VitrA Design Team
</t>
  </si>
  <si>
    <t>198.81</t>
  </si>
  <si>
    <t>22807</t>
  </si>
  <si>
    <t>Short Tower Holder_Glossy Black</t>
  </si>
  <si>
    <t>A4430439</t>
  </si>
  <si>
    <t>Towel Bathrobe Holders</t>
  </si>
  <si>
    <t xml:space="preserve">
Height (mm)
48
Width (mm)
350
Brand
VitrA
Finish
PVD
Mounting type
Wall Mounted
Color
Glossy Black
Designer
Sebastian Conran
</t>
  </si>
  <si>
    <t>828.48</t>
  </si>
  <si>
    <t>29503</t>
  </si>
  <si>
    <t>Q-Line Towel Ring</t>
  </si>
  <si>
    <t>A44994</t>
  </si>
  <si>
    <t xml:space="preserve">
Height (mm)
48
Width (mm)
512
Brand
VitrA
Finish
Chrome
Mounting type
Wall Mounted
Color
Chrome
Designer
VitrA Design Team
</t>
  </si>
  <si>
    <t>104.21</t>
  </si>
  <si>
    <t>19125</t>
  </si>
  <si>
    <t>Q-Line Towel Holder</t>
  </si>
  <si>
    <t>A44995</t>
  </si>
  <si>
    <t xml:space="preserve">
Height (mm)
138
Width (mm)
143
Brand
VitrA
Finish
Chrome
Mounting type
Wall Mounted
Color
Chrome
Designer
VitrA Design Team
</t>
  </si>
  <si>
    <t>117.37</t>
  </si>
  <si>
    <t>19124</t>
  </si>
  <si>
    <t>Minimax Towel Ring</t>
  </si>
  <si>
    <t>A44783</t>
  </si>
  <si>
    <t xml:space="preserve">
Height (mm)
185
Width (mm)
200
Brand
VitrA
Mounting type
Wall Mounted
Finish
Chrome
Color
Chrome
Designer
VitrA Design Team
</t>
  </si>
  <si>
    <t>80.45</t>
  </si>
  <si>
    <t>19122</t>
  </si>
  <si>
    <t>Istanbul Towel Ring</t>
  </si>
  <si>
    <t>A48008</t>
  </si>
  <si>
    <t xml:space="preserve">
Height (mm)
128
Width (mm)
348
Brand
VitrA
Mounting type
Wall Mounted
Awards
Design Plus
Designer
Ross Lovegrove
Finish
Chrome
Color
Chrome
Certificate
REACH
</t>
  </si>
  <si>
    <t>473.18</t>
  </si>
  <si>
    <t>22645</t>
  </si>
  <si>
    <t>Marin Towel Ring</t>
  </si>
  <si>
    <t>A44943</t>
  </si>
  <si>
    <t xml:space="preserve">
Height (mm)
55
Width (mm)
550
Brand
VitrA
Finish
Chrome
Mounting type
Wall Mounted
Color
Chrome
</t>
  </si>
  <si>
    <t>39.71</t>
  </si>
  <si>
    <t>23881</t>
  </si>
  <si>
    <t>Origin Towel Holder, Triple Black</t>
  </si>
  <si>
    <t>A4489936</t>
  </si>
  <si>
    <t xml:space="preserve">
Height (mm)
58
Width (mm)
658
Awards
Good Design
Brand
VitrA
Finish
Black
Mounting type
Wall Mounted
Color
Matt Black
Designer
VitrA Design Team
Certificate
REACH
</t>
  </si>
  <si>
    <t>622.11</t>
  </si>
  <si>
    <t>Matt Black</t>
  </si>
  <si>
    <t>24641</t>
  </si>
  <si>
    <t>Origin Towel Holder, Triple B.Nickel</t>
  </si>
  <si>
    <t>A4489934</t>
  </si>
  <si>
    <t xml:space="preserve">
Height (mm)
58
Width (mm)
658
Awards
Good Design
Brand
VitrA
Finish
Stainless steel
Mounting type
Wall Mounted
Color
Brushed Nickel
Designer
VitrA Design Team
Certificate
REACH
</t>
  </si>
  <si>
    <t>680</t>
  </si>
  <si>
    <t>680.00</t>
  </si>
  <si>
    <t>23643</t>
  </si>
  <si>
    <t>Origin Towel Holder - 45cm</t>
  </si>
  <si>
    <t>A4488636</t>
  </si>
  <si>
    <t xml:space="preserve">
Height (mm)
58
Width (mm)
508
Brand
VitrA
Awards
Good Design
Mounting type
Wall Mounted
Color
Matt Black
Designer
VitrA Design Team
Finish
Matte Black
</t>
  </si>
  <si>
    <t>319</t>
  </si>
  <si>
    <t>319.00</t>
  </si>
  <si>
    <t>23836</t>
  </si>
  <si>
    <t>A4488634</t>
  </si>
  <si>
    <t xml:space="preserve">
Height (mm)
58
Width (mm)
508
Brand
VitrA
Awards
Good Design
Finish
Stainless steel
Mounting type
Wall Mounted
Color
Brushed Nickel
Designer
VitrA Design Team
Certificate
REACH
</t>
  </si>
  <si>
    <t>438</t>
  </si>
  <si>
    <t>438.00</t>
  </si>
  <si>
    <t>22798</t>
  </si>
  <si>
    <t>A44886</t>
  </si>
  <si>
    <t xml:space="preserve">
Height (mm)
58
Width (mm)
508
Brand
VitrA
Awards
Good Design
Finish
Chrome
Mounting type
Wall Mounted
Color
Chrome
Designer
VitrA Design Team
</t>
  </si>
  <si>
    <t>266</t>
  </si>
  <si>
    <t>266.00</t>
  </si>
  <si>
    <t>23913</t>
  </si>
  <si>
    <t>Towel Holder with Ceramic Vanity</t>
  </si>
  <si>
    <t>A44006</t>
  </si>
  <si>
    <t xml:space="preserve">
Height (mm)
197
Width (mm)
297
Brand
VitrA
Mounting type
Wall Mounted
Finish
Black
Color
Matt Black
Designer
VitrA Design Team
</t>
  </si>
  <si>
    <t>614</t>
  </si>
  <si>
    <t>614.00</t>
  </si>
  <si>
    <t>29244</t>
  </si>
  <si>
    <t>Q-Line Toothbrush Holder</t>
  </si>
  <si>
    <t>A44993</t>
  </si>
  <si>
    <t>Toothbrush Holders</t>
  </si>
  <si>
    <t xml:space="preserve">
Height (mm)
148
Width (mm)
160
Brand
VitrA
Finish
Chrome
Mounting type
Wall Mounted
Color
Chrome
Designer
VitrA Design Team
</t>
  </si>
  <si>
    <t>81</t>
  </si>
  <si>
    <t>229</t>
  </si>
  <si>
    <t>81.00</t>
  </si>
  <si>
    <t>24137</t>
  </si>
  <si>
    <t>Minimax Toothbrush Holder</t>
  </si>
  <si>
    <t>A44780</t>
  </si>
  <si>
    <t xml:space="preserve">
Height (mm)
95
Width (mm)
125
Brand
VitrA
Mounting type
Wall Mounted
Finish
Chrome
Color
Chrome
Designer
VitrA Design Team
</t>
  </si>
  <si>
    <t>376</t>
  </si>
  <si>
    <t>71.00</t>
  </si>
  <si>
    <t>23878</t>
  </si>
  <si>
    <t>Istanbul Toothbrush Holder</t>
  </si>
  <si>
    <t>A48017</t>
  </si>
  <si>
    <t xml:space="preserve">
Height (mm)
79
Width (mm)
135
Brand
VitrA
Mounting type
Wall Mounted
Awards
Design Plus
Designer
Ross Lovegrove
Finish
Chrome
Color
Chrome
</t>
  </si>
  <si>
    <t>600.00</t>
  </si>
  <si>
    <t>23791</t>
  </si>
  <si>
    <t>Origin T.brush Hol. Single Wall M. Black</t>
  </si>
  <si>
    <t>A4489636</t>
  </si>
  <si>
    <t xml:space="preserve">
Height (mm)
106
Width (mm)
69
Awards
Good Design
Brand
VitrA
Mounting type
Countertop
Color
Matt Black
Designer
VitrA Design Team
Finish
Matte Black
</t>
  </si>
  <si>
    <t>134</t>
  </si>
  <si>
    <t>134.00</t>
  </si>
  <si>
    <t>23755</t>
  </si>
  <si>
    <t>Origin T.brush Hol. Sin Wall M. B.Nickel</t>
  </si>
  <si>
    <t>A4489634</t>
  </si>
  <si>
    <t xml:space="preserve">
Height (mm)
106
Width (mm)
69
Awards
Good Design
Brand
VitrA
Finish
Stainless steel
Mounting type
Countertop
Color
Brushed Nickel
Designer
VitrA Design Team
</t>
  </si>
  <si>
    <t>24022</t>
  </si>
  <si>
    <t>Origin T.brush Hol. Singl Wall M. Chrome</t>
  </si>
  <si>
    <t>A44896</t>
  </si>
  <si>
    <t xml:space="preserve">
Height (mm)
106
Width (mm)
69
Awards
Good Design
Brand
VitrA
Finish
Chrome
Mounting type
Countertop
Color
Chrome
Designer
VitrA Design Team
</t>
  </si>
  <si>
    <t>94</t>
  </si>
  <si>
    <t>94.00</t>
  </si>
  <si>
    <t>23754</t>
  </si>
  <si>
    <t>Roll Holder_Glossy Black</t>
  </si>
  <si>
    <t>A4432339</t>
  </si>
  <si>
    <t>Toilet Roll Holders</t>
  </si>
  <si>
    <t xml:space="preserve">
Height (mm)
108
Width (mm)
160
Brand
VitrA
Mounting type
Wall Mounted
Finish
PVD
Color
Glossy Black
Designer
Sebastian Conran
</t>
  </si>
  <si>
    <t>607</t>
  </si>
  <si>
    <t>607.00</t>
  </si>
  <si>
    <t>28877</t>
  </si>
  <si>
    <t>Q-Line Roll Holder-Single</t>
  </si>
  <si>
    <t>A44997</t>
  </si>
  <si>
    <t xml:space="preserve">
Height (mm)
48
Width (mm)
48
Brand
VitrA
Finish
Chrome
Mounting type
Wall Mounted
Color
Chrome
Designer
VitrA Design Team
</t>
  </si>
  <si>
    <t>90.9</t>
  </si>
  <si>
    <t>23768</t>
  </si>
  <si>
    <t>Istanbul Roll Holder-Single</t>
  </si>
  <si>
    <t>A48001</t>
  </si>
  <si>
    <t xml:space="preserve">
Height (mm)
125
Width (mm)
302
Brand
VitrA
Mounting type
Wall Mounted
Awards
Design Plus
Designer
Ross Lovegrove
Finish
Chrome
Color
Chrome
Certificate
REACH
</t>
  </si>
  <si>
    <t>388.34</t>
  </si>
  <si>
    <t>22642</t>
  </si>
  <si>
    <t>Minimax Roll Holder w/ Cover</t>
  </si>
  <si>
    <t>A44788</t>
  </si>
  <si>
    <t xml:space="preserve">
Height (mm)
153
Width (mm)
150
Brand
VitrA
Mounting type
Wall Mounted
Finish
Chrome
Color
Chrome
Designer
VitrA Design Team
</t>
  </si>
  <si>
    <t>83.76</t>
  </si>
  <si>
    <t>24122</t>
  </si>
  <si>
    <t>Minimax Reserve Roll Holder</t>
  </si>
  <si>
    <t>A44789</t>
  </si>
  <si>
    <t xml:space="preserve">
Height (mm)
45
Width (mm)
163
Brand
VitrA
Mounting type
Wall Mounted
Finish
Chrome
Color
Chrome
Designer
VitrA Design Team
</t>
  </si>
  <si>
    <t>69.76</t>
  </si>
  <si>
    <t>24099</t>
  </si>
  <si>
    <t>Origin Roll Holder w/ Cover</t>
  </si>
  <si>
    <t>A44888</t>
  </si>
  <si>
    <t xml:space="preserve">
Height (mm)
95
Width (mm)
140
Brand
VitrA
Mounting type
Wall Mounted
Finish
Chrome
Color
Chrome
Designer
VitrA Design Team
</t>
  </si>
  <si>
    <t>229.17</t>
  </si>
  <si>
    <t>23891</t>
  </si>
  <si>
    <t>Roll Holder</t>
  </si>
  <si>
    <t>A44971</t>
  </si>
  <si>
    <t xml:space="preserve">
Height (mm)
45
Width (mm)
110
Brand
VitrA
Finish
Stainless steel
Mounting type
Wall Mounted
Color
Chrome
Designer
VitrA Design Team
</t>
  </si>
  <si>
    <t>358.22</t>
  </si>
  <si>
    <t>24000</t>
  </si>
  <si>
    <t>Marin Roll Holder-Single</t>
  </si>
  <si>
    <t>A44946</t>
  </si>
  <si>
    <t xml:space="preserve">
Height (mm)
55
Width (mm)
55
Brand
VitrA
Finish
Chrome
Mounting type
Wall Mounted
Color
Chrome
</t>
  </si>
  <si>
    <t>54.02</t>
  </si>
  <si>
    <t>20512</t>
  </si>
  <si>
    <t>Marin Roll Holder w/ Cover</t>
  </si>
  <si>
    <t>A44945</t>
  </si>
  <si>
    <t xml:space="preserve">
Height (mm)
120
Width (mm)
165
Brand
VitrA
Finish
Chrome
Mounting type
Wall Mounted
Color
Chrome
</t>
  </si>
  <si>
    <t>67.75</t>
  </si>
  <si>
    <t>23973</t>
  </si>
  <si>
    <t>Minimax Roll Holder-Single</t>
  </si>
  <si>
    <t>A44796</t>
  </si>
  <si>
    <t xml:space="preserve">
Height (mm)
125
Width (mm)
150
Brand
VitrA
Mounting type
Wall Mounted
Finish
Chrome
Color
Chrome
Designer
VitrA Design Team
</t>
  </si>
  <si>
    <t>70.82</t>
  </si>
  <si>
    <t>23631</t>
  </si>
  <si>
    <t>Arkitekta Roll Holder</t>
  </si>
  <si>
    <t>A44381</t>
  </si>
  <si>
    <t xml:space="preserve">
Height (mm)
360
Width (mm)
83
Brand
VitrA
Finish
Stainless steel
Mounting type
Wall Mounted
Color
Chrome
Designer
VitrA Design Team
</t>
  </si>
  <si>
    <t>180.23</t>
  </si>
  <si>
    <t>23981</t>
  </si>
  <si>
    <t>Liquid Toilet Roll Holder</t>
  </si>
  <si>
    <t>A4456539</t>
  </si>
  <si>
    <t xml:space="preserve">
Height (mm)
77
Width (mm)
204
Brand
VitrA
Mounting type
Wall Mounted
Designer
Tom Dixon
Awards
Wallpaper* Design
Finish
PVD
Color
Glossy Black
</t>
  </si>
  <si>
    <t>488.49</t>
  </si>
  <si>
    <t>29286</t>
  </si>
  <si>
    <t>A44565</t>
  </si>
  <si>
    <t xml:space="preserve">
Height (mm)
77
Width (mm)
204
Brand
VitrA
Mounting type
Wall Mounted
Designer
Tom Dixon
Awards
Wallpaper* Design
Finish
Chrome
Color
Chrome
</t>
  </si>
  <si>
    <t>292.22</t>
  </si>
  <si>
    <t>20488</t>
  </si>
  <si>
    <t>Roll Holder with Ceramic Vanity</t>
  </si>
  <si>
    <t>A44007</t>
  </si>
  <si>
    <t>613.31</t>
  </si>
  <si>
    <t>28881</t>
  </si>
  <si>
    <t>Q-Line WC Brush Holder</t>
  </si>
  <si>
    <t>A44999</t>
  </si>
  <si>
    <t>Toilet Brush Holders</t>
  </si>
  <si>
    <t xml:space="preserve">
Height (mm)
125
Width (mm)
302
Brand
VitrA
Finish
Chrome
Mounting type
Wall Mounted
Color
Chrome
Designer
VitrA Design Team
</t>
  </si>
  <si>
    <t>177.69</t>
  </si>
  <si>
    <t>20921</t>
  </si>
  <si>
    <t>Minimax WC Brush Holder</t>
  </si>
  <si>
    <t>A44790</t>
  </si>
  <si>
    <t xml:space="preserve">
Height (mm)
404
Width (mm)
170
Brand
VitrA
Mounting type
Wall Mounted
Finish
Chrome
Color
Chrome
Designer
VitrA Design Team
</t>
  </si>
  <si>
    <t>118.73</t>
  </si>
  <si>
    <t>23737</t>
  </si>
  <si>
    <t>Liquid Toilet Brush Holder</t>
  </si>
  <si>
    <t>A4456639</t>
  </si>
  <si>
    <t xml:space="preserve">
Height (mm)
137
Width (mm)
219
Brand
VitrA
Mounting type
From the Floor
Designer
Tom Dixon
Awards
Wallpaper* Design
Finish
PVD
Color
Glossy Black
</t>
  </si>
  <si>
    <t>1206.19</t>
  </si>
  <si>
    <t>29267</t>
  </si>
  <si>
    <t>A44566</t>
  </si>
  <si>
    <t xml:space="preserve">
Height (mm)
137
Width (mm)
219
Brand
VitrA
Mounting type
From the Floor
Designer
Tom Dixon
Awards
Wallpaper* Design
Finish
Chrome
Color
Chrome
</t>
  </si>
  <si>
    <t>749.09</t>
  </si>
  <si>
    <t>20489</t>
  </si>
  <si>
    <t>Origin WC Brush Holder</t>
  </si>
  <si>
    <t>A4489436</t>
  </si>
  <si>
    <t xml:space="preserve">
Height (mm)
397
Width (mm)
70
Mounting type
Wall Mounted
Brand
VitrA
Awards
Good Design
Finish
Black
Color
Matt Black
Designer
VitrA Design Team
Certificate
REACH
</t>
  </si>
  <si>
    <t>312.85</t>
  </si>
  <si>
    <t>24628</t>
  </si>
  <si>
    <t>A4489434</t>
  </si>
  <si>
    <t xml:space="preserve">
Height (mm)
397
Width (mm)
70
Mounting type
Wall Mounted
Brand
VitrA
Awards
Good Design
Finish
Stainless steel
Color
Brushed Nickel
Designer
VitrA Design Team
Certificate
REACH
</t>
  </si>
  <si>
    <t>296.88</t>
  </si>
  <si>
    <t>24269</t>
  </si>
  <si>
    <t>Arkitekta Liquid Soap Dispenser</t>
  </si>
  <si>
    <t>A44370</t>
  </si>
  <si>
    <t>Soap Holders</t>
  </si>
  <si>
    <t xml:space="preserve">
Height (mm)
140
Width (mm)
570
Brand
VitrA
Finish
Chrome
Mounting type
Wall Mounted
Color
Chrome
Designer
VitrA Design Team
Certificate
REACH
</t>
  </si>
  <si>
    <t>136.45</t>
  </si>
  <si>
    <t>24142</t>
  </si>
  <si>
    <t>Origin Soap Dispenser</t>
  </si>
  <si>
    <t>A44891</t>
  </si>
  <si>
    <t xml:space="preserve">
Height (mm)
198
Width (mm)
81
Brand
VitrA
Mounting type
Countertop
Finish
Chrome
Color
Chrome
Designer
VitrA Design Team
Certificate
REACH
</t>
  </si>
  <si>
    <t>248</t>
  </si>
  <si>
    <t>24582</t>
  </si>
  <si>
    <t>A4489134</t>
  </si>
  <si>
    <t xml:space="preserve">
Height (mm)
198
Width (mm)
81
Brand
VitrA
Finish
Stainless steel
Mounting type
Countertop
Color
Brushed Nickel
Designer
VitrA Design Team
</t>
  </si>
  <si>
    <t>290.16</t>
  </si>
  <si>
    <t>23753</t>
  </si>
  <si>
    <t>A4489136</t>
  </si>
  <si>
    <t xml:space="preserve">
Height (mm)
198
Width (mm)
81
Brand
VitrA
Mounting type
Countertop
Finish
Black
Color
Matt Black
Designer
VitrA Design Team
</t>
  </si>
  <si>
    <t>310.02</t>
  </si>
  <si>
    <t>23988</t>
  </si>
  <si>
    <t>Origin Liquid Soap Dispenser Holder</t>
  </si>
  <si>
    <t>A44892</t>
  </si>
  <si>
    <t xml:space="preserve">
Height (mm)
150
Width (mm)
80
Brand
VitrA
Awards
Good Design
Finish
Chrome
Mounting type
Wall Mounted
Color
Chrome
Designer
VitrA Design Team
</t>
  </si>
  <si>
    <t>139.38</t>
  </si>
  <si>
    <t>19970</t>
  </si>
  <si>
    <t>A4489234</t>
  </si>
  <si>
    <t xml:space="preserve">
Height (mm)
150
Width (mm)
80
Brand
VitrA
Awards
Good Design
Finish
Stainless steel
Mounting type
Wall Mounted
Color
Brushed Nickel
Designer
VitrA Design Team
</t>
  </si>
  <si>
    <t>183.44</t>
  </si>
  <si>
    <t>23953</t>
  </si>
  <si>
    <t>Q-Line Soap Dish</t>
  </si>
  <si>
    <t>A44992</t>
  </si>
  <si>
    <t xml:space="preserve">
Height (mm)
95
Width (mm)
67
Brand
VitrA
Finish
Chrome
Mounting type
Wall Mounted
Color
Chrome
Designer
VitrA Design Team
</t>
  </si>
  <si>
    <t>89.19</t>
  </si>
  <si>
    <t>23766</t>
  </si>
  <si>
    <t>Minimax Soap Dish</t>
  </si>
  <si>
    <t>A44777</t>
  </si>
  <si>
    <t xml:space="preserve">
Height (mm)
45
Width (mm)
140
Brand
VitrA
Mounting type
Wall Mounted
Finish
Chrome
Color
Chrome
Designer
VitrA Design Team
</t>
  </si>
  <si>
    <t>75.9</t>
  </si>
  <si>
    <t>23186</t>
  </si>
  <si>
    <t>Istanbul Soap Dish</t>
  </si>
  <si>
    <t>A48004</t>
  </si>
  <si>
    <t xml:space="preserve">
Height (mm)
21
Width (mm)
135
Brand
VitrA
Mounting type
Wall Mounted
Awards
Design Plus
Designer
Ross Lovegrove
Finish
Chrome
Color
Chrome
</t>
  </si>
  <si>
    <t>445.37</t>
  </si>
  <si>
    <t>23784</t>
  </si>
  <si>
    <t>Photocell Controlled Soap Dispenser</t>
  </si>
  <si>
    <t>A44761</t>
  </si>
  <si>
    <t xml:space="preserve">
Height (mm)
140
Width (mm)
58
Designer
VitrA Design Team
Brand
VitrA
Finish
Chrome
Mounting type
Countertop
Driver IP
IP67
Color
Chrome
</t>
  </si>
  <si>
    <t>1440.71</t>
  </si>
  <si>
    <t>28882</t>
  </si>
  <si>
    <t>A44759</t>
  </si>
  <si>
    <t xml:space="preserve">
Height (mm)
58
Width (mm)
58
Designer
VitrA Design Team
Brand
VitrA
Finish
Chrome
Mounting type
Countertop
Driver IP
IP67
Color
Chrome
</t>
  </si>
  <si>
    <t>1066.12</t>
  </si>
  <si>
    <t>20500</t>
  </si>
  <si>
    <t>A4475936</t>
  </si>
  <si>
    <t xml:space="preserve">
Height (mm)
58
Width (mm)
58
Designer
VitrA Design Team
Color
Matt Black
Brand
VitrA
Finish
Matte Black
Mounting type
Countertop
Driver IP
IP67
</t>
  </si>
  <si>
    <t>2040.27</t>
  </si>
  <si>
    <t>29248</t>
  </si>
  <si>
    <t>Marin Marin Accessory Set-6 Pcs</t>
  </si>
  <si>
    <t>A44924</t>
  </si>
  <si>
    <t>Sets</t>
  </si>
  <si>
    <t xml:space="preserve">
Height (mm)
600
Width (mm)
400
Brand
VitrA
Finish
Chrome
Color
Chrome
Mounting type
Wall Mounted
</t>
  </si>
  <si>
    <t>270.75</t>
  </si>
  <si>
    <t>23321</t>
  </si>
  <si>
    <t>Adjustable Mirror</t>
  </si>
  <si>
    <t>اِ</t>
  </si>
  <si>
    <t>A44002</t>
  </si>
  <si>
    <t>Other Accessories</t>
  </si>
  <si>
    <t xml:space="preserve">
_x0009_Height (mm) 700
_x0009_Width (mm) 550
_x0009_Brand VitrA
_x0009_Mounting type Wall Mounted
_x0009_Color Shiny Metal
_x0009_Designer VitrA Design Team
</t>
  </si>
  <si>
    <t>972</t>
  </si>
  <si>
    <t>Shiny Metal</t>
  </si>
  <si>
    <t>29243</t>
  </si>
  <si>
    <t>Arkitekta Corner Unit-Double</t>
  </si>
  <si>
    <t>A44051</t>
  </si>
  <si>
    <t xml:space="preserve">
Height (mm)
345
Width (mm)
257
Brand
VitrA
Finish
Chrome
Mounting type
Wall Mounted
Color
Chrome
Designer
VitrA Design Team
</t>
  </si>
  <si>
    <t>268.53</t>
  </si>
  <si>
    <t>19134</t>
  </si>
  <si>
    <t>Arkitekta Sponge Basket-Double</t>
  </si>
  <si>
    <t>A44053</t>
  </si>
  <si>
    <t xml:space="preserve">
Height (mm)
262
Width (mm)
180
Brand
VitrA
Finish
Chrome
Mounting type
Wall Mounted
Color
Chrome
Designer
VitrA Design Team
Certificate
REACH
</t>
  </si>
  <si>
    <t>341.64</t>
  </si>
  <si>
    <t>24123</t>
  </si>
  <si>
    <t>Origin Mirror - Wall Mounted-matte black</t>
  </si>
  <si>
    <t>A4489536</t>
  </si>
  <si>
    <t xml:space="preserve">
Height (mm)
200
Width (mm)
200
Brand
VitrA
Finish
Chrome
Mounting type
Wall Mounted
Color
Matt Black
Designer
VitrA Design Team
</t>
  </si>
  <si>
    <t>1621.03</t>
  </si>
  <si>
    <t>23357</t>
  </si>
  <si>
    <t>Arkitekta Corner Unit-Single</t>
  </si>
  <si>
    <t>A44380</t>
  </si>
  <si>
    <t xml:space="preserve">
Brand
VitrA
Finish
Chrome
Mounting type
Wall Mounted
Color
Chrome
</t>
  </si>
  <si>
    <t>111.36</t>
  </si>
  <si>
    <t>23879</t>
  </si>
  <si>
    <t>Arkitekta Sponge Basket</t>
  </si>
  <si>
    <t>A44378</t>
  </si>
  <si>
    <t xml:space="preserve">
Height (mm)
55
Width (mm)
250
Brand
VitrA
Finish
Chrome
Mounting type
Wall Mounted
Color
Chrome
</t>
  </si>
  <si>
    <t>75.98</t>
  </si>
  <si>
    <t>24078</t>
  </si>
  <si>
    <t>Arkitekta Grab Bar</t>
  </si>
  <si>
    <t>A44375</t>
  </si>
  <si>
    <t xml:space="preserve">
Height (mm)
52
Width (mm)
352
Brand
VitrA
Finish
Chrome
Mounting type
Wall Mounted
Color
Chrome
Designer
VitrA Design Team
</t>
  </si>
  <si>
    <t>140</t>
  </si>
  <si>
    <t>140.00</t>
  </si>
  <si>
    <t>23303</t>
  </si>
  <si>
    <t>Arkitekta Grab Bar-Sponge Holder</t>
  </si>
  <si>
    <t>A44374</t>
  </si>
  <si>
    <t>228.28</t>
  </si>
  <si>
    <t>20913</t>
  </si>
  <si>
    <t>A44248</t>
  </si>
  <si>
    <t xml:space="preserve">
Height (mm)
52
Width (mm)
194
Brand
VitrA
Finish
Chrome
Mounting type
Wall Mounted
Color
Chrome
</t>
  </si>
  <si>
    <t>352.04</t>
  </si>
  <si>
    <t>20934</t>
  </si>
  <si>
    <t>A44042</t>
  </si>
  <si>
    <t xml:space="preserve">
Height (mm)
345
Width (mm)
84
Brand
VitrA
Finish
Chrome
Mounting type
Wall Mounted
Color
Chrome
</t>
  </si>
  <si>
    <t>167.19</t>
  </si>
  <si>
    <t>23679</t>
  </si>
  <si>
    <t>Arkitekta Cosmetic &amp; Shaving Mirror</t>
  </si>
  <si>
    <t>A44009</t>
  </si>
  <si>
    <t xml:space="preserve">
Height (mm)
300
Width (mm)
420
Brand
VitrA
Finish
Chrome
Mounting type
Wall Mounted
Color
Chrome
Designer
VitrA Design Team
</t>
  </si>
  <si>
    <t>255.17</t>
  </si>
  <si>
    <t>24106</t>
  </si>
  <si>
    <t>A44010</t>
  </si>
  <si>
    <t xml:space="preserve">
Height (mm)
295
Width (mm)
180
Brand
VitrA
Finish
Chrome
Mounting type
Wall Mounted
Driver IP
IP67
LED IP
IP67
Color
Chrome
Designer
VitrA Design Team
</t>
  </si>
  <si>
    <t>385.03</t>
  </si>
  <si>
    <t>23889</t>
  </si>
  <si>
    <t>Bidet handshower brushed nickel</t>
  </si>
  <si>
    <t>A4574734</t>
  </si>
  <si>
    <t>complimentary products</t>
  </si>
  <si>
    <t xml:space="preserve">
Height (mm)
165
Width (mm)
32
Depth (mm)
62
Color
Brushed Nickel
Brand
VitrA
Finish
Brushed Nickel
Guarantee
5 year
Recommended Minimum Pressure
Recommended (1-3)
Mounting type
Wall Mounted
</t>
  </si>
  <si>
    <t>259</t>
  </si>
  <si>
    <t>24029</t>
  </si>
  <si>
    <t>Bidet handshower matte black</t>
  </si>
  <si>
    <t>A4574736</t>
  </si>
  <si>
    <t xml:space="preserve">
Height (mm)
165
Width (mm)
32
Depth (mm)
62
Color
Matt Black
Brand
VitrA
Finish
Matte Black
Guarantee
5 year
Recommended Minimum Pressure
Recommended (1-3)
Mounting type
Wall Mounted
</t>
  </si>
  <si>
    <t>251.24</t>
  </si>
  <si>
    <t>24283</t>
  </si>
  <si>
    <t>Bottle Traps</t>
  </si>
  <si>
    <t>A4512325</t>
  </si>
  <si>
    <t xml:space="preserve">
Height (mm)
205
Width (mm)
70
Depth (mm)
290
Color
Brushed Gold
Brand
VitrA
Finish
PVD
Designer
VitrA Design Team
Guarantee
5 year
Mounting type
Standard
Certificate
REACH
</t>
  </si>
  <si>
    <t>343.8</t>
  </si>
  <si>
    <t>29237</t>
  </si>
  <si>
    <t>Waste Set</t>
  </si>
  <si>
    <t>A4514925</t>
  </si>
  <si>
    <t xml:space="preserve">
Height (mm)
64
Width (mm)
64
Depth (mm)
100
Color
Brushed Gold
Brand
VitrA
Finish
PVD
Guarantee
5 year
Designer
VitrA Design Team
Mounting type
Standard
</t>
  </si>
  <si>
    <t>167.75</t>
  </si>
  <si>
    <t>29236</t>
  </si>
  <si>
    <t>Bottle Tap for Basins</t>
  </si>
  <si>
    <t>A4512439</t>
  </si>
  <si>
    <t xml:space="preserve">
Height (mm)
100
Width (mm)
140
Depth (mm)
460
Mounting type
Wall Mounted
Brand
VitrA
Awards
EDIDA International, IF Design(Gold), Wallpaper* Design
Designer
Tom Dixon
Spout Length
141
Finish
PVD
Guarantee
5 year
Color
Glossy Black
</t>
  </si>
  <si>
    <t>467.85</t>
  </si>
  <si>
    <t>28884</t>
  </si>
  <si>
    <t>Spout Connection Pipe</t>
  </si>
  <si>
    <t>A42249</t>
  </si>
  <si>
    <t xml:space="preserve">
Height (mm)
174
Width (mm)
32
Depth (mm)
43
Mounting type
Built-in
Brand
VitrA
Awards
Good Design
Finish
Chrome
Guarantee
10 year
Color
Chrome
Designer
VitrA Design Team
Certificate
ACS
</t>
  </si>
  <si>
    <t>43.08</t>
  </si>
  <si>
    <t>22956</t>
  </si>
  <si>
    <t>Built-In 2 Way Diverter_Concealed part</t>
  </si>
  <si>
    <t>A42856</t>
  </si>
  <si>
    <t xml:space="preserve">
Height (mm)
53
Width (mm)
60
Depth (mm)
117
Mounting type
Built-in
Brand
VitrA
Guarantee
10 year
Recommended Minimum Pressure
Min:0.5-Max:10Recommended(1-5)
Designer
VitrA Design Team
</t>
  </si>
  <si>
    <t>140.42</t>
  </si>
  <si>
    <t>24726</t>
  </si>
  <si>
    <t>Built-In 3 Way Diverter_Concealed part</t>
  </si>
  <si>
    <t>A42858</t>
  </si>
  <si>
    <t xml:space="preserve">
Height (mm)
65
Width (mm)
60
Depth (mm)
116
Mounting type
Built-in
Brand
VitrA
Guarantee
10 year
Recommended Minimum Pressure
Min:0.5-Max:10Recommended(1-5)
Color
Chrome
Designer
VitrA Design Team
</t>
  </si>
  <si>
    <t>144.93</t>
  </si>
  <si>
    <t>23090</t>
  </si>
  <si>
    <t>Liquid Waste Cover</t>
  </si>
  <si>
    <t>A45170</t>
  </si>
  <si>
    <t xml:space="preserve">
Height (mm)
77
Width (mm)
105
Depth (mm)
150
Brand
VitrA
Designer
Tom Dixon
Finish
Chrome
Mounting type
Standard
Awards
Wallpaper* Design
Guarantee
5 year
Color
Chrome
</t>
  </si>
  <si>
    <t>204.09</t>
  </si>
  <si>
    <t>29261</t>
  </si>
  <si>
    <t>A4517039</t>
  </si>
  <si>
    <t xml:space="preserve">
Height (mm)
77
Width (mm)
105
Depth (mm)
150
Brand
VitrA
Designer
Tom Dixon
Mounting type
Standard
Awards
Wallpaper* Design
Finish
PVD
Guarantee
5 year
Color
Glossy Black
Certificate
REACH
</t>
  </si>
  <si>
    <t>360.07</t>
  </si>
  <si>
    <t>29266</t>
  </si>
  <si>
    <t>Special syphon for freestanding - long</t>
  </si>
  <si>
    <t>A45161</t>
  </si>
  <si>
    <t xml:space="preserve">
Height (mm)
630
Width (mm)
80
Depth (mm)
320
Brand
VitrA
Mounting type
Standard
Awards
Good Design
Designer
Terri Pecora
Finish
Chrome
Color
Chrome
Guarantee
2 year
</t>
  </si>
  <si>
    <t>1848.56</t>
  </si>
  <si>
    <t>20523</t>
  </si>
  <si>
    <t>Special syphon for freestanding - short</t>
  </si>
  <si>
    <t>A45160</t>
  </si>
  <si>
    <t>1745.18</t>
  </si>
  <si>
    <t>23882</t>
  </si>
  <si>
    <t>Bottle Trap (w/Symmetric Roset9 B.Nickel</t>
  </si>
  <si>
    <t>A4515934</t>
  </si>
  <si>
    <t xml:space="preserve">
Height (mm)
205
Width (mm)
170
Depth (mm)
450
Brand
VitrA
Designer
VitrA Design Team
Mounting type
Standard
Finish
Stainless steel
Guarantee
5 year
Recommended Minimum Pressure
Min:0.5-Max:10Recommended(1-5)
Color
Brushed Nickel
</t>
  </si>
  <si>
    <t>650.83</t>
  </si>
  <si>
    <t>23775</t>
  </si>
  <si>
    <t>Bottle Trap (w/Symmetric Roset)</t>
  </si>
  <si>
    <t>A45159</t>
  </si>
  <si>
    <t xml:space="preserve">
Height (mm)
205
Width (mm)
170
Depth (mm)
450
Brand
VitrA
Designer
VitrA Design Team
Mounting type
Standard
Finish
Chrome
Guarantee
5 year
Recommended Minimum Pressure
Min:0.5-Max:10Recommended(1-5)
Color
Chrome
</t>
  </si>
  <si>
    <t>431.5</t>
  </si>
  <si>
    <t>23773</t>
  </si>
  <si>
    <t>Waste Set Universal (Push-Open) B.Nickel</t>
  </si>
  <si>
    <t>A4514934</t>
  </si>
  <si>
    <t xml:space="preserve">
Height (mm)
64
Width (mm)
64
Depth (mm)
100
Brand
VitrA
Designer
VitrA Design Team
Mounting type
Standard
Finish
Stainless steel
Guarantee
5 year
Color
Brushed Nickel
</t>
  </si>
  <si>
    <t>118.39</t>
  </si>
  <si>
    <t>24689</t>
  </si>
  <si>
    <t>Bottle Tap for Basins T Type B.Nickel</t>
  </si>
  <si>
    <t>A4512334</t>
  </si>
  <si>
    <t xml:space="preserve">
Height (mm)
205
Width (mm)
70
Depth (mm)
290
Brand
VitrA
Designer
VitrA Design Team
Mounting type
Standard
Awards
Good Design
Finish
Stainless steel
Guarantee
5 year
Color
Brushed Nickel
</t>
  </si>
  <si>
    <t>185.22</t>
  </si>
  <si>
    <t>24001</t>
  </si>
  <si>
    <t>Bottle Trap For Basin (Metal U-Trap)</t>
  </si>
  <si>
    <t>A45151</t>
  </si>
  <si>
    <t xml:space="preserve">
Height (mm)
335
Width (mm)
65
Depth (mm)
400
Brand
VitrA
Guarantee
5 year
Mounting type
Standard
Finish
Chrome
Water Label Class
Red (&amp;gt;13)
Color
Chrome
</t>
  </si>
  <si>
    <t>138.09</t>
  </si>
  <si>
    <t>20521</t>
  </si>
  <si>
    <t>Bottle Trap for Basins (T Type)</t>
  </si>
  <si>
    <t>A45123</t>
  </si>
  <si>
    <t xml:space="preserve">
Height (mm)
205
Width (mm)
70
Depth (mm)
290
Brand
VitrA
Guarantee
5 year
Mounting type
Standard
Designer
VitrA Design Team
Finish
Chrome
Color
Chrome
</t>
  </si>
  <si>
    <t>172.49</t>
  </si>
  <si>
    <t>22928</t>
  </si>
  <si>
    <t>Interval Tap Matte Black Origin</t>
  </si>
  <si>
    <t>A4521436WTC</t>
  </si>
  <si>
    <t>Brassware</t>
  </si>
  <si>
    <t xml:space="preserve">
Height (mm)
65
Width (mm)
65
Depth (mm)
68
Color
Matt Black
Brand
VitrA
Finish
Matte Black
Guarantee
5 year
Designer
VitrA Design Team
Mounting type
Wall Mounted
Spout Length
32
Recommended Minimum Pressure
Min:0.5-Max:10Recommended(1-5)
</t>
  </si>
  <si>
    <t>208.92</t>
  </si>
  <si>
    <t>29306</t>
  </si>
  <si>
    <t>Origin Interval Tap Brushed Nickel</t>
  </si>
  <si>
    <t>A4521434</t>
  </si>
  <si>
    <t xml:space="preserve">
Height (mm)
65
Width (mm)
65
Depth (mm)
68
Brand
VitrA
Mounting type
Standard
Spout Length
18
Finish
Stainless steel
Recommended Minimum Pressure
Min:0.5-Max:10Recommended(1-5)
Water Label Class
Red (&amp;gt;13)
Color
Brushed Nickel
Guarantee
5 year
</t>
  </si>
  <si>
    <t>190.11</t>
  </si>
  <si>
    <t>29215</t>
  </si>
  <si>
    <t>Origin Interval Tap</t>
  </si>
  <si>
    <t>A45214</t>
  </si>
  <si>
    <t xml:space="preserve">
Height (mm)
65
Width (mm)
65
Depth (mm)
68
Mounting type
Standard
Guarantee
10 year
Brand
VitrA
Awards
Good Design
Spout Length
18
Finish
Chrome
Recommended Minimum Pressure
Min:0.5-Max:10Recommended(1-5)
Water Label Class
Red (&amp;gt;13)
Color
Chrome
</t>
  </si>
  <si>
    <t>139.28</t>
  </si>
  <si>
    <t>24273</t>
  </si>
  <si>
    <t>Origin Classic Bath Mixer</t>
  </si>
  <si>
    <t>A4289836</t>
  </si>
  <si>
    <t xml:space="preserve">
Height (mm)
1038
Width (mm)
150
Depth (mm)
300
Color
Matt Black
Mounting type
From the Floor
Brand
VitrA
Spout Length
224
Finish
Matte Black
Flow Rate Value (1st Function)
21,1
Recommended Minimum Pressure
Min:0.5-Max:10Recommended(1-5)
Spout Height
248.000 MM
Cartridge
Adjustable heat-flow rate
Aerator
Hidden
Water Label Class
Red (&amp;gt;13)
Designer
VitrA Design Team
Guarantee
5 year
</t>
  </si>
  <si>
    <t>4156.34</t>
  </si>
  <si>
    <t>29180</t>
  </si>
  <si>
    <t>Origin Classic Spout</t>
  </si>
  <si>
    <t>A4289925</t>
  </si>
  <si>
    <t xml:space="preserve">
Height (mm)
58
Width (mm)
58
Depth (mm)
185
Color
Brushed Gold
Brand
VitrA
Finish
PVD
Designer
VitrA Design Team
Guarantee
5 year
Mounting type
Built-in
Spout Length
173
Aerator
Hidden
</t>
  </si>
  <si>
    <t>632</t>
  </si>
  <si>
    <t>40162</t>
  </si>
  <si>
    <t>A4289536</t>
  </si>
  <si>
    <t xml:space="preserve">
Height (mm)
198
Width (mm)
170
Depth (mm)
78
Color
Matt Black
Brand
VitrA
Finish
Matte Black
Designer
VitrA Design Team
Guarantee
5 year
Mounting type
Built-in
Recommended Minimum Pressure
Min:0.5-Max:10Recommended(1-5)
</t>
  </si>
  <si>
    <t>625.21</t>
  </si>
  <si>
    <t>29147</t>
  </si>
  <si>
    <t>A4289525</t>
  </si>
  <si>
    <t xml:space="preserve">
Height (mm)
198
Width (mm)
170
Depth (mm)
78
Color
Brushed Gold
Brand
VitrA
Finish
PVD
Designer
VitrA Design Team
Guarantee
5 year
Mounting type
Built-in
Recommended Minimum Pressure
Min:0.5-Max:10Recommended(1-5)
Certificate
REACH
</t>
  </si>
  <si>
    <t>825</t>
  </si>
  <si>
    <t>40159</t>
  </si>
  <si>
    <t>Solid S Bath/Shower Mixer</t>
  </si>
  <si>
    <t>A42444EXP</t>
  </si>
  <si>
    <t xml:space="preserve">
Height (mm)
107
Width (mm)
215
Depth (mm)
170
Mounting type
Wall Mounted
Brand
VitrA
Spout Length
106/154
Finish
Chrome
Guarantee
10 year
Recommended Minimum Pressure
Min:0.5-Max:10Recommended(1-5)
Cartridge
Adjustable heat-flow rate
Aerator
Standard
Water Label Class
Red (&amp;gt;13)
Color
Chrome
Certificate
REACH, SII
</t>
  </si>
  <si>
    <t>243.84</t>
  </si>
  <si>
    <t>24280</t>
  </si>
  <si>
    <t>Minimax S Bath spout</t>
  </si>
  <si>
    <t>A40565EXP</t>
  </si>
  <si>
    <t xml:space="preserve">
Height (mm)
80
Width (mm)
80
Depth (mm)
170
Brand
VitrA
Spout Length
156
Finish
Chrome
Guarantee
10 year
Color
Chrome
Designer
VitrA Design Team
Mounting type
Built-in
Recommended Minimum Pressure
Min:2-Max:10 Recommended (3-5)
Aerator
Hidden
</t>
  </si>
  <si>
    <t>227.07</t>
  </si>
  <si>
    <t>23227</t>
  </si>
  <si>
    <t>Solid S Built-in Bath/Shower Mixer</t>
  </si>
  <si>
    <t>A42446EXP</t>
  </si>
  <si>
    <t xml:space="preserve">
Height (mm)
212
Width (mm)
170
Depth (mm)
94
Mounting type
Built-in
Brand
VitrA
Finish
Chrome
Guarantee
10 year
Recommended Minimum Pressure
Min:0.5-Max:10Recommended(1-5)
Cartridge
Adjustable heat-flow rate
Color
Chrome
Certificate
REACH
</t>
  </si>
  <si>
    <t>136.39</t>
  </si>
  <si>
    <t>19121</t>
  </si>
  <si>
    <t>Root Round Bathtub Mixer Deck Mounted 4T</t>
  </si>
  <si>
    <t>A4274336EXP</t>
  </si>
  <si>
    <t xml:space="preserve">
Height (mm)
200
Width (mm)
502
Depth (mm)
268
Color
Matt Black
Mounting type
Countertop
Brand
VitrA
Designer
VitrA Design Team
Spout Length
225
Finish
Matte Black
Guarantee
10 year
Recommended Minimum Pressure
Min:0.5-Max:10Recommended(1-5)
Spout Height
145.000 MM
Cartridge
Adjustable heat-flow rate
Aerator
Standard
Water Label Class
Red (&amp;gt;13)
</t>
  </si>
  <si>
    <t>2906.82</t>
  </si>
  <si>
    <t>29126</t>
  </si>
  <si>
    <t>Root Round Bath Mixer</t>
  </si>
  <si>
    <t>A4272536EXP</t>
  </si>
  <si>
    <t xml:space="preserve">
Height (mm)
119
Width (mm)
220
Depth (mm)
185
Color
Matt Black
Mounting type
Wall Mounted
Brand
VitrA
Designer
VitrA Design Team
Spout Length
115/165
Finish
Matte Black
Guarantee
10 year
Recommended Minimum Pressure
Min:0.5-Max:10Recommended(1-5)
Cartridge
Adjustable heat-flow rate
Aerator
Standard
Water Label Class
Red (&amp;gt;13)
</t>
  </si>
  <si>
    <t>817.04</t>
  </si>
  <si>
    <t>24134</t>
  </si>
  <si>
    <t>Root Round Shower Mixer</t>
  </si>
  <si>
    <t>A4272636EXP</t>
  </si>
  <si>
    <t xml:space="preserve">
Height (mm)
125
Width (mm)
220
Depth (mm)
144
Color
Matt Black
Mounting type
Wall Mounted
Brand
VitrA
Designer
VitrA Design Team
Spout Length
50
Finish
Matte Black
Guarantee
10 year
Recommended Minimum Pressure
Min:0.5-Max:10Recommended(1-5)
Cartridge
Adjustable heat-flow rate
Water Label Class
Red (&amp;gt;13)
</t>
  </si>
  <si>
    <t>778.09</t>
  </si>
  <si>
    <t>29120</t>
  </si>
  <si>
    <t>Root Round Built-in Shower Mixer</t>
  </si>
  <si>
    <t>A4272836EXP</t>
  </si>
  <si>
    <t xml:space="preserve">
Height (mm)
120
Width (mm)
120
Depth (mm)
80
Color
Matt Black
Mounting type
Built-in
Brand
VitrA
Finish
Matte Black
Recommended Minimum Pressure
Min:0.5-Max:10Recommended(1-5)
Cartridge
Adjustable heat-flow rate
Water Label Class
Red (&amp;gt;13)
Designer
VitrA Design Team
Guarantee
5 year
</t>
  </si>
  <si>
    <t>320.96</t>
  </si>
  <si>
    <t>29350</t>
  </si>
  <si>
    <t>Root Square Bath Mixer</t>
  </si>
  <si>
    <t>A4273736EXP</t>
  </si>
  <si>
    <t xml:space="preserve">
Height (mm)
120
Width (mm)
220
Depth (mm)
204
Color
Matt Black
Mounting type
Wall Mounted
Brand
VitrA
Designer
VitrA Design Team
Spout Length
110-130/170-190
Finish
Matte Black
Recommended Minimum Pressure
Min:0.5-Max:10Recommended(1-5)
Cartridge
Adjustable heat-flow rate
Aerator
Standard
Water Label Class
Red (&amp;gt;13)
Guarantee
5 year
</t>
  </si>
  <si>
    <t>937.73</t>
  </si>
  <si>
    <t>29122</t>
  </si>
  <si>
    <t>Standard Bath Mixer_Suit</t>
  </si>
  <si>
    <t>A4281839</t>
  </si>
  <si>
    <t xml:space="preserve">
Height (mm)
69
Width (mm)
313
Depth (mm)
76
Mounting type
Wall Mounted
Brand
VitrA
Spout Length
76
Finish
PVD
Guarantee
5 year
Recommended Minimum Pressure
Min:0.5-Max:10Recommended(1-5)
Cartridge
Adjustable heat-flow rate
Aerator
Hidden
Water Label Class
Red (&amp;gt;13)
Color
Glossy Black
Designer
VitrA Design Team
Certificate
ACS
</t>
  </si>
  <si>
    <t>1392.81</t>
  </si>
  <si>
    <t>28837</t>
  </si>
  <si>
    <t>Suit Showering</t>
  </si>
  <si>
    <t>A4283139</t>
  </si>
  <si>
    <t xml:space="preserve">
Height (mm)
85
Width (mm)
85
Depth (mm)
150
Mounting type
Built-in
Brand
VitrA
Spout Length
150
Finish
PVD
Guarantee
5 year
Recommended Minimum Pressure
Min:0.5-Max:10Recommended(1-5)
Aerator
Rectangular
Water Label Class
Orange (10 &amp;lt; Flow Rate ≤ 13)
Color
Glossy Black
Certificate
ACS
</t>
  </si>
  <si>
    <t>425.15</t>
  </si>
  <si>
    <t>28838</t>
  </si>
  <si>
    <t>Built-in Shower Mixer_Suit</t>
  </si>
  <si>
    <t>A4283739</t>
  </si>
  <si>
    <t xml:space="preserve">
Height (mm)
120
Width (mm)
120
Depth (mm)
79
Mounting type
Built-in
Brand
VitrA
Finish
PVD
Guarantee
5 year
Recommended Minimum Pressure
Min:0.5-Max:10Recommended(1-5)
Color
Glossy Black
</t>
  </si>
  <si>
    <t>523.79</t>
  </si>
  <si>
    <t>28839</t>
  </si>
  <si>
    <t>Root Square Shower Mixer</t>
  </si>
  <si>
    <t>A4276136EXP</t>
  </si>
  <si>
    <t xml:space="preserve">
Height (mm)
132
Width (mm)
220
Depth (mm)
145
Color
Matt Black
Mounting type
Wall Mounted
Brand
VitrA
Designer
VitrA Design Team
Spout Length
45-65
Finish
Matte Black
Recommended Minimum Pressure
Min:0.5-Max:10Recommended(1-5)
Cartridge
Adjustable heat-flow rate
Water Label Class
Red (&amp;gt;13)
Guarantee
5 year
</t>
  </si>
  <si>
    <t>857.71</t>
  </si>
  <si>
    <t>29139</t>
  </si>
  <si>
    <t>Built-in Bath Mixer_Suit</t>
  </si>
  <si>
    <t>A4283839</t>
  </si>
  <si>
    <t xml:space="preserve">
Height (mm)
194
Width (mm)
117
Depth (mm)
79
Mounting type
Built-in
Brand
VitrA
Finish
PVD
Guarantee
5 year
Recommended Minimum Pressure
Min:0.5-Max:10Recommended(1-5)
Color
Glossy Black
Certificate
ACS
</t>
  </si>
  <si>
    <t>561.2</t>
  </si>
  <si>
    <t>29166</t>
  </si>
  <si>
    <t>Diverter_Suit</t>
  </si>
  <si>
    <t>A4283939</t>
  </si>
  <si>
    <t xml:space="preserve">
Height (mm)
85
Width (mm)
85
Depth (mm)
61
Mounting type
Built-in
Brand
VitrA
Finish
PVD
Guarantee
5 year
Recommended Minimum Pressure
Min:0.5-Max:10Recommended(1-5)
Color
Glossy Black
</t>
  </si>
  <si>
    <t>311.21</t>
  </si>
  <si>
    <t>28840</t>
  </si>
  <si>
    <t>Built-In 2 Way Diverter_Exposed Part</t>
  </si>
  <si>
    <t>A42857</t>
  </si>
  <si>
    <t xml:space="preserve">
Height (mm)
90
Width (mm)
90
Depth (mm)
63
Color
Chromium
Mounting type
Built-in
Brand
VitrA
Finish
Chrome
Guarantee
5 year
Recommended Minimum Pressure
Min:0.5-Max:10Recommended(1-5)
</t>
  </si>
  <si>
    <t>205.13</t>
  </si>
  <si>
    <t>Chromium</t>
  </si>
  <si>
    <t>24562</t>
  </si>
  <si>
    <t>A4285734</t>
  </si>
  <si>
    <t xml:space="preserve">
Height (mm)
90
Width (mm)
90
Depth (mm)
63
Mounting type
Built-in
Brand
VitrA
Finish
Chrome
Guarantee
5 year
Recommended Minimum Pressure
Min:0.5-Max:10Recommended(1-5)
Color
Brushed Nickel
</t>
  </si>
  <si>
    <t>386.67</t>
  </si>
  <si>
    <t>29076</t>
  </si>
  <si>
    <t>Built-In 3 Way Diverter_Exposed Part</t>
  </si>
  <si>
    <t>A4285934</t>
  </si>
  <si>
    <t xml:space="preserve">
Height (mm)
90
Width (mm)
90
Depth (mm)
71
Mounting type
Built-in
Brand
VitrA
Finish
Chrome
Guarantee
5 year
Recommended Minimum Pressure
Min:0.5-Max:10Recommended(1-5)
Color
Brushed Nickel
Designer
VitrA Design Team
</t>
  </si>
  <si>
    <t>446.93</t>
  </si>
  <si>
    <t>29110</t>
  </si>
  <si>
    <t>Common Concealed Parts Common Concealed Parts</t>
  </si>
  <si>
    <t>A42806</t>
  </si>
  <si>
    <t xml:space="preserve">
Height (mm)
142
Width (mm)
142
Depth (mm)
135
Mounting type
Built-in
Brand
VitrA
Designer
VitrA Design Team
Finish
Chrome
Guarantee
10 year
Certificate
WRAS
Recommended Minimum Pressure
Min:0.5-Max:10Recommended(1-5)
Color
Chrome
Cartridge
Adjustable heat-flow rate
Water Label Class
Red (&amp;gt;13)
</t>
  </si>
  <si>
    <t>384.97</t>
  </si>
  <si>
    <t>23457</t>
  </si>
  <si>
    <t>Origin Floor Bath/Shw. Mixer</t>
  </si>
  <si>
    <t>A42681</t>
  </si>
  <si>
    <t xml:space="preserve">
Height (mm)
1100
Width (mm)
110
Depth (mm)
220
Mounting type
From the Floor
Brand
VitrA
Awards
Good Design
Spout Length
168
Finish
Chrome
Guarantee
10 year
Recommended Minimum Pressure
Min:0.5-Max:10Recommended(1-5)
Spout Height
913.000 MM
Cartridge
Adjustable heat-flow rate
Aerator
Hidden
Water Label Class
Red (&amp;gt;13)
Color
Chrome
</t>
  </si>
  <si>
    <t>2753.55</t>
  </si>
  <si>
    <t>23272</t>
  </si>
  <si>
    <t>A4268134</t>
  </si>
  <si>
    <t xml:space="preserve">
Height (mm)
1100
Width (mm)
110
Depth (mm)
220
Color
Brushed Nickel
Mounting type
From the Floor
Brand
VitrA
Awards
Good Design
Spout Length
168
Finish
Brushed Nickel
Recommended Minimum Pressure
Min:0.5-Max:10Recommended(1-5)
Spout Height
913.000 MM
Cartridge
Adjustable heat-flow rate
Aerator
Hidden
Water Label Class
Red (&amp;gt;13)
Guarantee
5 year
</t>
  </si>
  <si>
    <t>4670</t>
  </si>
  <si>
    <t>4670.00</t>
  </si>
  <si>
    <t>23345</t>
  </si>
  <si>
    <t>Root Square Bathtub Mixer Deck Mounted 4</t>
  </si>
  <si>
    <t>A4275736EXP</t>
  </si>
  <si>
    <t xml:space="preserve">
Height (mm)
235
Width (mm)
503
Depth (mm)
266
Color
Matt Black
Mounting type
Countertop
Brand
VitrA
Designer
VitrA Design Team
Spout Length
225
Finish
Matte Black
Flow Rate Value (1st Function)
5,4
Recommended Minimum Pressure
Min:0.5-Max:10Recommended(1-5)
Spout Height
145.000 MM
Cartridge
Adjustable heat-flow rate
Aerator
Standard
Water Label Class
Red (&amp;gt;13)
Guarantee
5 year
</t>
  </si>
  <si>
    <t>3140</t>
  </si>
  <si>
    <t>3140.00</t>
  </si>
  <si>
    <t>29093</t>
  </si>
  <si>
    <t>A4276134EXP</t>
  </si>
  <si>
    <t xml:space="preserve">
Height (mm)
132
Width (mm)
220
Depth (mm)
145
Color
Brushed Nickel
Mounting type
Wall Mounted
Brand
VitrA
Finish
Brushed Nickel
Spout Length
45-71
Guarantee
5 year
Recommended Minimum Pressure
Min:0.5-Max:10Recommended(1-5)
Cartridge
Adjustable heat-flow rate
Water Label Class
Dark Green (0 &amp;lt; Flow Rate ≤ 6)
Designer
VitrA Design Team
</t>
  </si>
  <si>
    <t>996</t>
  </si>
  <si>
    <t>996.00</t>
  </si>
  <si>
    <t>21518</t>
  </si>
  <si>
    <t>Bath Mixer(from floor - with handshower)</t>
  </si>
  <si>
    <t>A4276034EXP</t>
  </si>
  <si>
    <t xml:space="preserve">
Height (mm)
940
Width (mm)
175
Depth (mm)
305
Color
Brushed Nickel
Mounting type
From the Floor
Brand
VitrA
Designer
VitrA Design Team
Spout Length
225
Finish
PVD
Flow Rate Value (1st Function)
5,4
Recommended Minimum Pressure
Min:0.5-Max:10Recommended(1-5)
Spout Height
910.000 MM
Cartridge
Adjustable heat-flow rate
Aerator
Standard
Water Label Class
Red (&amp;gt;13)
Guarantee
5 year
</t>
  </si>
  <si>
    <t>4402</t>
  </si>
  <si>
    <t>4402.00</t>
  </si>
  <si>
    <t>29130</t>
  </si>
  <si>
    <t>A42760EXP</t>
  </si>
  <si>
    <t xml:space="preserve">
Height (mm)
940
Width (mm)
175
Depth (mm)
305
Mounting type
From the Floor
Brand
VitrA
Finish
Chrome
Guarantee
10 year
Designer
VitrA Design Team
Spout Length
225
Flow Rate Value (1st Function)
5,4
Recommended Minimum Pressure
Min:0.5-Max:10Recommended(1-5)
Spout Height
910.000 MM
Cartridge
Adjustable heat-flow rate
Aerator
Standard
Water Label Class
Red (&amp;gt;13)
Color
Chrome
</t>
  </si>
  <si>
    <t>2291</t>
  </si>
  <si>
    <t>2291.00</t>
  </si>
  <si>
    <t>23883</t>
  </si>
  <si>
    <t>Built-in Bath/Shower Mixer, Root Square</t>
  </si>
  <si>
    <t>A42752EXP</t>
  </si>
  <si>
    <t xml:space="preserve">
Height (mm)
213
Width (mm)
120
Depth (mm)
80
Mounting type
Built-in
Brand
VitrA
Finish
Chrome
Guarantee
10 year
Recommended Minimum Pressure
Min:0.5-Max:10Recommended(1-5)
Cartridge
Adjustable heat-flow rate
Water Label Class
Red (&amp;gt;13)
Color
Chrome
Designer
VitrA Design Team
</t>
  </si>
  <si>
    <t>245</t>
  </si>
  <si>
    <t>66</t>
  </si>
  <si>
    <t>245.00</t>
  </si>
  <si>
    <t>22678</t>
  </si>
  <si>
    <t>Built-in Shower Mixer (exposed part)</t>
  </si>
  <si>
    <t>A4275134EXP</t>
  </si>
  <si>
    <t xml:space="preserve">
Height (mm)
120
Width (mm)
120
Depth (mm)
80
Color
Brushed Nickel
Mounting type
Built-in
Brand
VitrA
Finish
Brushed Nickel
Recommended Minimum Pressure
Min:0.5-Max:10Recommended(1-5)
Cartridge
Adjustable heat-flow rate
Water Label Class
Red (&amp;gt;13)
Designer
VitrA Design Team
Guarantee
5 year
</t>
  </si>
  <si>
    <t>341</t>
  </si>
  <si>
    <t>341.00</t>
  </si>
  <si>
    <t>24333</t>
  </si>
  <si>
    <t>Bath Mixer(4 hole bathtubs-deck mounted)</t>
  </si>
  <si>
    <t>A42743EXP</t>
  </si>
  <si>
    <t xml:space="preserve">
Height (mm)
200
Width (mm)
502
Depth (mm)
268
Brand
VitrA
Finish
Chrome
Guarantee
10 year
Mounting type
Countertop
Designer
VitrA Design Team
Spout Length
225
Recommended Minimum Pressure
Min:0.5-Max:10Recommended(1-5)
Spout Height
145.000 MM
Cartridge
Adjustable heat-flow rate
Aerator
Standard
Water Label Class
Red (&amp;gt;13)
Color
Chrome
</t>
  </si>
  <si>
    <t>2149</t>
  </si>
  <si>
    <t>2149.00</t>
  </si>
  <si>
    <t>23084</t>
  </si>
  <si>
    <t>A4274334EXP</t>
  </si>
  <si>
    <t xml:space="preserve">
Height (mm)
200
Width (mm)
502
Depth (mm)
268
Color
Brushed Nickel
Brand
VitrA
Finish
Brushed Nickel
Guarantee
10 year
Mounting type
Countertop
Designer
VitrA Design Team
Spout Length
225
Recommended Minimum Pressure
Min:0.5-Max:10Recommended(1-5)
Spout Height
145.000 MM
Cartridge
Adjustable heat-flow rate
Aerator
Standard
Water Label Class
Red (&amp;gt;13)
</t>
  </si>
  <si>
    <t>2850</t>
  </si>
  <si>
    <t>2850.00</t>
  </si>
  <si>
    <t>29168</t>
  </si>
  <si>
    <t>A42741EXP</t>
  </si>
  <si>
    <t xml:space="preserve">
Height (mm)
940
Width (mm)
160
Depth (mm)
305
Mounting type
From the Floor
Brand
VitrA
Finish
Chrome
Guarantee
10 year
Designer
VitrA Design Team
Spout Length
225
Flow Rate Value (1st Function)
5,4
Recommended Minimum Pressure
Min:0.5-Max:10Recommended(1-5)
Spout Height
915.000 MM
Cartridge
Adjustable heat-flow rate
Aerator
Standard
Water Label Class
Red (&amp;gt;13)
Color
Chrome
</t>
  </si>
  <si>
    <t>2257</t>
  </si>
  <si>
    <t>2257.00</t>
  </si>
  <si>
    <t>24040</t>
  </si>
  <si>
    <t>Bath/Shower Mixer, Root Square</t>
  </si>
  <si>
    <t>A4273734EXP</t>
  </si>
  <si>
    <t xml:space="preserve">
Height (mm)
120
Width (mm)
220
Depth (mm)
204
Color
Brushed Nickel
Brand
VitrA
Finish
Brushed Nickel
Mounting type
Wall Mounted
Spout Length
110-130/170-190
Guarantee
5 year
Recommended Minimum Pressure
Min:0.5-Max:10Recommended(1-5)
Cartridge
Adjustable heat-flow rate
Aerator
Standard
Water Label Class
Red (&amp;gt;13)
Designer
VitrA Design Team
</t>
  </si>
  <si>
    <t>892</t>
  </si>
  <si>
    <t>892.00</t>
  </si>
  <si>
    <t>23264</t>
  </si>
  <si>
    <t>Built-in Bth/Shwr Mxr-Exposd Part,Root R</t>
  </si>
  <si>
    <t>A4272734EXP</t>
  </si>
  <si>
    <t xml:space="preserve">
Height (mm)
212
Width (mm)
170
Depth (mm)
90
Color
Brushed Nickel
Mounting type
Built-in
Brand
VitrA
Finish
Brushed Nickel
Recommended Minimum Pressure
Min:0.5-Max:10Recommended(1-5)
Cartridge
Adjustable heat-flow rate
Water Label Class
Red (&amp;gt;13)
Designer
VitrA Design Team
Guarantee
5 year
</t>
  </si>
  <si>
    <t>381</t>
  </si>
  <si>
    <t>381.00</t>
  </si>
  <si>
    <t>24138</t>
  </si>
  <si>
    <t>Root Round shower Mixer</t>
  </si>
  <si>
    <t>A42726EXP</t>
  </si>
  <si>
    <t xml:space="preserve">
Height (mm)
125
Width (mm)
220
Depth (mm)
144
Mounting type
Wall Mounted
Brand
VitrA
Finish
Chrome
Guarantee
10 year
Designer
VitrA Design Team
Spout Length
50
Recommended Minimum Pressure
Min:0.5-Max:10Recommended(1-5)
Cartridge
Adjustable heat-flow rate
Water Label Class
Red (&amp;gt;13)
Color
Chrome
</t>
  </si>
  <si>
    <t>571</t>
  </si>
  <si>
    <t>571.00</t>
  </si>
  <si>
    <t>23243</t>
  </si>
  <si>
    <t>A4272634EXP</t>
  </si>
  <si>
    <t xml:space="preserve">
Height (mm)
125
Width (mm)
220
Depth (mm)
144
Color
Brushed Nickel
Mounting type
Wall Mounted
Brand
VitrA
Finish
Brushed Nickel
Spout Length
50
Guarantee
5 year
Recommended Minimum Pressure
Min:0.5-Max:10Recommended(1-5)
Cartridge
Adjustable heat-flow rate
Water Label Class
Red (&amp;gt;13)
Designer
VitrA Design Team
Certificate
REACH
</t>
  </si>
  <si>
    <t>813</t>
  </si>
  <si>
    <t>813.00</t>
  </si>
  <si>
    <t>28912</t>
  </si>
  <si>
    <t>Origin Bath Spout Brushed Nickel</t>
  </si>
  <si>
    <t>A4262234</t>
  </si>
  <si>
    <t xml:space="preserve">
Height (mm)
90
Width (mm)
90
Depth (mm)
130
Brand
VitrA
Mounting type
Built-in
Awards
Good Design
Spout Length
115
Finish
Stainless steel
Recommended Minimum Pressure
Min:0.5-Max:10Recommended(1-5)
Aerator
Standard
Color
Brushed Nickel
Guarantee
5 year
</t>
  </si>
  <si>
    <t>369</t>
  </si>
  <si>
    <t>369.00</t>
  </si>
  <si>
    <t>23346</t>
  </si>
  <si>
    <t>Origin Bath Spout</t>
  </si>
  <si>
    <t>A42622</t>
  </si>
  <si>
    <t xml:space="preserve">
Height (mm)
90
Width (mm)
90
Depth (mm)
130
Brand
VitrA
Mounting type
Built-in
Awards
Good Design
Spout Length
115
Finish
Chrome
Recommended Minimum Pressure
Min:0.5-Max:10Recommended(1-5)
Aerator
Standard
Color
Chrome
Guarantee
10 year
</t>
  </si>
  <si>
    <t>250.00</t>
  </si>
  <si>
    <t>23060</t>
  </si>
  <si>
    <t>Origin Blt-In Shower Mix. expo.</t>
  </si>
  <si>
    <t>A42621</t>
  </si>
  <si>
    <t xml:space="preserve">
Height (mm)
137
Width (mm)
120
Depth (mm)
66
Mounting type
Built-in
Brand
VitrA
Designer
VitrA Design Team
Awards
Good Design
Finish
Chrome
Recommended Minimum Pressure
Min:0.5-Max:10Recommended(1-5)
Color
Chrome
Water Label Class
Red (&amp;gt;13)
Certificate
REACH
Guarantee
10 year
</t>
  </si>
  <si>
    <t>352</t>
  </si>
  <si>
    <t>352.00</t>
  </si>
  <si>
    <t>24609</t>
  </si>
  <si>
    <t>Minimax S Bath/Shw Mixer</t>
  </si>
  <si>
    <t>A41994EXP</t>
  </si>
  <si>
    <t xml:space="preserve">
Height (mm)
114
Width (mm)
225
Depth (mm)
180
Mounting type
Wall Mounted
Brand
VitrA
Finish
Chrome
Guarantee
10 year
Spout Length
167
Recommended Minimum Pressure
Min:0.5-Max:10Recommended(1-5)
Cartridge
Adjustable heat-flow rate
Water Label Class
Red (&amp;gt;13)
Color
Chrome
Certificate
ACS
</t>
  </si>
  <si>
    <t>422.24</t>
  </si>
  <si>
    <t>23075</t>
  </si>
  <si>
    <t>Minimax S Shower Mixer</t>
  </si>
  <si>
    <t>A41996EXP</t>
  </si>
  <si>
    <t xml:space="preserve">
Height (mm)
135
Width (mm)
225
Depth (mm)
134
Mounting type
Wall Mounted
Brand
VitrA
Finish
Chrome
Guarantee
10 year
Spout Length
54
Recommended Minimum Pressure
Min:0.5-Max:10Recommended(1-5)
Cartridge
Adjustable heat-flow rate
Color
Chrome
Water Label Class
Red (&amp;gt;13)
Designer
VitrA Design Team
Certificate
ACS
</t>
  </si>
  <si>
    <t>470</t>
  </si>
  <si>
    <t>24621</t>
  </si>
  <si>
    <t>Liquid WC Seat</t>
  </si>
  <si>
    <t>137-003R009</t>
  </si>
  <si>
    <t xml:space="preserve">
Height (mm)
46,5
Width (mm)
385
Depth (mm)
445
Soft close
Yes
Awards
Wallpaper* Design
Designer
VitrA Design Team
Brand
VitrA
Hinge Type
Eccentric
Thickness
Standard
</t>
  </si>
  <si>
    <t>949.27</t>
  </si>
  <si>
    <t>24136</t>
  </si>
  <si>
    <t>Sento WC Seat</t>
  </si>
  <si>
    <t>130-003R009</t>
  </si>
  <si>
    <t xml:space="preserve">
Height (mm)
44
Width (mm)
368
Depth (mm)
452
Color
White
Designer
VitrA Design Team
Soft close
Yes
Awards
Good Design, IF Design
Brand
VitrA
Finish
Standard
Hinge Type
Eccentric
Thickness
Slim
</t>
  </si>
  <si>
    <t>326.44</t>
  </si>
  <si>
    <t>24057</t>
  </si>
  <si>
    <t>122-070R009</t>
  </si>
  <si>
    <t xml:space="preserve">
Height (mm)
20
Width (mm)
365
Depth (mm)
440
Color
Black
Designer
Noa
Soft close
Yes
Brand
VitrA
Finish
Standard
Hinge Type
Eccentric
Thickness
Slim
</t>
  </si>
  <si>
    <t>445.76</t>
  </si>
  <si>
    <t>20024</t>
  </si>
  <si>
    <t>Plural WC Seat</t>
  </si>
  <si>
    <t>126-003-019</t>
  </si>
  <si>
    <t xml:space="preserve">
Height (mm)
53
Width (mm)
364
Depth (mm)
476
Color
White
Designer
Terri Pecora
Soft close
Yes
Brand
VitrA
Finish
Standard
Thickness
Standard
Hinge Type
Special Series
</t>
  </si>
  <si>
    <t>631.49</t>
  </si>
  <si>
    <t>19089</t>
  </si>
  <si>
    <t>120-003R009</t>
  </si>
  <si>
    <t xml:space="preserve">
Height (mm)
51
Width (mm)
367
Depth (mm)
452
Color
White
Designer
VitrA Design Team
Soft close
Yes
Awards
Good Design, IF Design
Brand
VitrA
Finish
Standard
Certificate
NF
Hinge Type
Eccentric
Thickness
Slim
</t>
  </si>
  <si>
    <t>309.88</t>
  </si>
  <si>
    <t>24089</t>
  </si>
  <si>
    <t>WC Seat</t>
  </si>
  <si>
    <t>108-003R009</t>
  </si>
  <si>
    <t xml:space="preserve">
Height (mm)
55
Width (mm)
360
Depth (mm)
445
Color
White
Soft close
Yes
Designer
Noa
Brand
VitrA
Finish
Standard
Certificate
CE
Hinge Type
Eccentric
Thickness
Standard
</t>
  </si>
  <si>
    <t>257.69</t>
  </si>
  <si>
    <t>24667</t>
  </si>
  <si>
    <t>91-003-009</t>
  </si>
  <si>
    <t xml:space="preserve">
Height (mm)
56
Width (mm)
365
Depth (mm)
458
Color
White
Designer
Noa
Soft close
Yes
Brand
VitrA
Finish
Standard
Certificate
CE
Hinge Type
Eccentric
Thickness
Standard
</t>
  </si>
  <si>
    <t>200.89</t>
  </si>
  <si>
    <t>24669</t>
  </si>
  <si>
    <t>90-003R009</t>
  </si>
  <si>
    <t xml:space="preserve">
Height (mm)
56
Width (mm)
365
Depth (mm)
440
Color
White
Designer
Noa
Soft close
Yes
Certificate
NF
Awards
Good Design, IF Design, Plus X
Brand
VitrA
Finish
Standard
Hinge Type
Eccentric
Thickness
Standard
</t>
  </si>
  <si>
    <t>294.32</t>
  </si>
  <si>
    <t>22750</t>
  </si>
  <si>
    <t>Nest WC Seat</t>
  </si>
  <si>
    <t>89-003-009</t>
  </si>
  <si>
    <t xml:space="preserve">
Height (mm)
57
Width (mm)
360
Depth (mm)
450
Color
White
Designer
Pentagon
Soft close
Yes
Brand
VitrA
Finish
Standard
Hinge Type
Eccentric
Thickness
Standard
</t>
  </si>
  <si>
    <t>249.6</t>
  </si>
  <si>
    <t>23916</t>
  </si>
  <si>
    <t>86-003R009</t>
  </si>
  <si>
    <t xml:space="preserve">
Height (mm)
56
Width (mm)
365
Depth (mm)
450
Color
White
Designer
VitrA Design Team
Soft close
Yes
Awards
Good Design, IF Design
Brand
VitrA
Finish
Standard
Hinge Type
Eccentric
Thickness
Standard
</t>
  </si>
  <si>
    <t>259.08</t>
  </si>
  <si>
    <t>24597</t>
  </si>
  <si>
    <t>85-003-019</t>
  </si>
  <si>
    <t xml:space="preserve">
_x0009_Height (mm) 50
_x0009_Width (mm) 365
_x0009_Depth (mm) 450
_x0009_Color White
_x0009_Designer VitrA Design Team
_x0009_Brand VitrA
_x0009_Finish Standard
_x0009_Soft close Yes
_x0009_Hinge Type Eccentric
_x0009_Thickness Standard
</t>
  </si>
  <si>
    <t>237.2</t>
  </si>
  <si>
    <t>21846</t>
  </si>
  <si>
    <t>72-003-309</t>
  </si>
  <si>
    <t xml:space="preserve">
Height (mm)
46
Width (mm)
360
Depth (mm)
445
Color
White
Designer
Noa
Soft close
Yes
Brand
VitrA
Finish
Standard
Hinge Type
Eccentric
Thickness
Standard
</t>
  </si>
  <si>
    <t>211.83</t>
  </si>
  <si>
    <t>24731</t>
  </si>
  <si>
    <t xml:space="preserve">مقعد المرحاض المربع من </t>
  </si>
  <si>
    <t>191-003-009</t>
  </si>
  <si>
    <t>397.47</t>
  </si>
  <si>
    <t>19113</t>
  </si>
  <si>
    <t>110-003-019</t>
  </si>
  <si>
    <t xml:space="preserve">
_x0009_Height (mm) 58
_x0009_Width (mm) 364
_x0009_Depth (mm) 457
_x0009_Color White
_x0009_Designer VitrA Design Team
_x0009_Brand VitrA
_x0009_Finish Standard
_x0009_Soft close Yes
_x0009_Certificate NF
_x0009_Hinge Type Eccentric
_x0009_Thickness Slim
</t>
  </si>
  <si>
    <t>232.48</t>
  </si>
  <si>
    <t>24664</t>
  </si>
  <si>
    <t>Memoria WC Seat</t>
  </si>
  <si>
    <t>106-003R009</t>
  </si>
  <si>
    <t xml:space="preserve">
Height (mm)
67
Width (mm)
418
Depth (mm)
465
Color
White
Awards
Good Design, German Design, German Design Award 2016, IF Design, Reddot Design
Designer
Christophe Pillet
Soft close
Yes
Brand
VitrA
Finish
Standard
Hinge Type
Eccentric
Thickness
Standard
</t>
  </si>
  <si>
    <t>737.59</t>
  </si>
  <si>
    <t>22639</t>
  </si>
  <si>
    <t>Metropole Floorstanding WC</t>
  </si>
  <si>
    <t>7670B020-0075</t>
  </si>
  <si>
    <t xml:space="preserve">
Height (mm)
400
Width (mm)
360
Depth (mm)
540
Color
Mat Beige
Designer
Noa
Brand
VitrA
Finish
Hygiene
Bidet pipe access
Without bidet pipe
</t>
  </si>
  <si>
    <t>1750.67</t>
  </si>
  <si>
    <t>Mat Beige</t>
  </si>
  <si>
    <t>29109</t>
  </si>
  <si>
    <t>7670B083-0075</t>
  </si>
  <si>
    <t xml:space="preserve">
Height (mm)
400
Width (mm)
360
Depth (mm)
540
Color
White
Designer
Noa
Brand
VitrA
Finish
Hygiene
Bidet pipe access
Without bidet pipe
</t>
  </si>
  <si>
    <t>1947.96</t>
  </si>
  <si>
    <t>29034</t>
  </si>
  <si>
    <t>Sento Wall-Hung WC</t>
  </si>
  <si>
    <t>7748B076-0101</t>
  </si>
  <si>
    <t xml:space="preserve">
Height (mm)
340
Width (mm)
365
Depth (mm)
540
Color
Matt Stone Grey
Designer
VitrA Design Team
Brand
VitrA
Finish
Hygiene
Bidet pipe access
Without bidet pipe
</t>
  </si>
  <si>
    <t>1637.08</t>
  </si>
  <si>
    <t>29177</t>
  </si>
  <si>
    <t>Integra Wall-Hung WC</t>
  </si>
  <si>
    <t>7041B083-0075</t>
  </si>
  <si>
    <t xml:space="preserve">
Height (mm)
340
Width (mm)
355
Depth (mm)
545
Color
Matt Black
Designer
VitrA Design Team
Brand
VitrA
Finish
Hygiene
Bidet pipe access
Without bidet pipe
</t>
  </si>
  <si>
    <t>1056.79</t>
  </si>
  <si>
    <t>24495</t>
  </si>
  <si>
    <t>7082B083-0075</t>
  </si>
  <si>
    <t xml:space="preserve">
Height (mm)
350
Width (mm)
365
Depth (mm)
540
Color
Matt Black
Designer
VitrA Design Team
Brand
VitrA
Finish
Hygiene
Bidet pipe access
Without bidet pipe
</t>
  </si>
  <si>
    <t>1161.24</t>
  </si>
  <si>
    <t>22753</t>
  </si>
  <si>
    <t>7041B001-0075</t>
  </si>
  <si>
    <t xml:space="preserve">
Height (mm)
340
Width (mm)
355
Depth (mm)
545
Color
Matt white
Designer
VitrA Design Team
Brand
VitrA
Finish
Hygiene
Bidet pipe access
Without bidet pipe
</t>
  </si>
  <si>
    <t>884.06</t>
  </si>
  <si>
    <t>Matt white</t>
  </si>
  <si>
    <t>21863</t>
  </si>
  <si>
    <t>7082B001-0075</t>
  </si>
  <si>
    <t xml:space="preserve">
Height (mm)
350
Width (mm)
365
Depth (mm)
540
Color
Matt white
Designer
VitrA Design Team
Brand
VitrA
Finish
Hygiene
Certificate
CE, UKCA
Bidet pipe access
Without bidet pipe
</t>
  </si>
  <si>
    <t>1039.08</t>
  </si>
  <si>
    <t>24501</t>
  </si>
  <si>
    <t>Integra Square Cistern</t>
  </si>
  <si>
    <t>7100B003-0108</t>
  </si>
  <si>
    <t xml:space="preserve">
Height (mm)
370
Width (mm)
397
Depth (mm)
145
Color
White
Designer
VitrA Design Team
Brand
VitrA
Finish
Hygiene
</t>
  </si>
  <si>
    <t>218.46</t>
  </si>
  <si>
    <t>24668</t>
  </si>
  <si>
    <t>Sento Floorstanding WC</t>
  </si>
  <si>
    <t>7985B020-0075</t>
  </si>
  <si>
    <t xml:space="preserve">
Height (mm)
400
Depth (mm)
540
Color
Mat Beige
Designer
VitrA Design Team
Brand
VitrA
Finish
Hygiene
Bidet pipe access
Without bidet pipe
</t>
  </si>
  <si>
    <t>1413.94</t>
  </si>
  <si>
    <t>28965</t>
  </si>
  <si>
    <t>7985B083-0075</t>
  </si>
  <si>
    <t xml:space="preserve">
Height (mm)
400
Depth (mm)
540
Color
White
Designer
VitrA Design Team
Brand
VitrA
Finish
Hygiene
Bidet pipe access
Without bidet pipe
</t>
  </si>
  <si>
    <t>1589.08</t>
  </si>
  <si>
    <t>28908</t>
  </si>
  <si>
    <t>Liquid Wall-Hung WC</t>
  </si>
  <si>
    <t>7321B403-0075</t>
  </si>
  <si>
    <t xml:space="preserve">
Height (mm)
400
Width (mm)
380
Depth (mm)
540
Color
White
Designer
Tom Dixon
Awards
Wallpaper* Design
Brand
VitrA
Certificate
CE, UKCA
Bidet pipe access
Without bidet pipe
</t>
  </si>
  <si>
    <t>2009.47</t>
  </si>
  <si>
    <t>24135</t>
  </si>
  <si>
    <t>Integra Square Close-Coupled WC</t>
  </si>
  <si>
    <t>7086B003-0096</t>
  </si>
  <si>
    <t xml:space="preserve">
Height (mm)
400
Depth (mm)
620
Color
White
Designer
VitrA Design Team
Brand
VitrA
Finish
Hygiene
Bidet pipe access
Without bidet pipe
</t>
  </si>
  <si>
    <t>866.3</t>
  </si>
  <si>
    <t>24721</t>
  </si>
  <si>
    <t>7081B003-0075</t>
  </si>
  <si>
    <t xml:space="preserve">
Height (mm)
340
Width (mm)
365
Depth (mm)
540
Color
White
Designer
VitrA Design Team
Brand
VitrA
Finish
Hygiene
Certificate
CE
Bidet pipe access
Without bidet pipe
</t>
  </si>
  <si>
    <t>551.53</t>
  </si>
  <si>
    <t>24025</t>
  </si>
  <si>
    <t>7672B083-0101</t>
  </si>
  <si>
    <t xml:space="preserve">
Height (mm)
340
Width (mm)
360
Depth (mm)
560
Color
Matt Black
Designer
Noa
Brand
VitrA
Finish
Hygiene
Bidet pipe access
Without bidet pipe
</t>
  </si>
  <si>
    <t>1675.61</t>
  </si>
  <si>
    <t>23221</t>
  </si>
  <si>
    <t>7672B070-0101</t>
  </si>
  <si>
    <t xml:space="preserve">
Height (mm)
340
Width (mm)
360
Depth (mm)
560
Color
Black
Designer
Noa
Brand
VitrA
Finish
Hygiene
Bidet pipe access
Without bidet pipe
</t>
  </si>
  <si>
    <t>1666.97</t>
  </si>
  <si>
    <t>20021</t>
  </si>
  <si>
    <t>7672B001-0101</t>
  </si>
  <si>
    <t xml:space="preserve">
Height (mm)
340
Width (mm)
360
Depth (mm)
560
Designer
Noa
Color
Matt white
Brand
VitrA
Finish
Hygiene
Certificate
CE, NF, TSE DOUBLE STAR, UKCA
Bidet pipe access
Without bidet pipe
</t>
  </si>
  <si>
    <t>1186</t>
  </si>
  <si>
    <t>1186.00</t>
  </si>
  <si>
    <t>22877</t>
  </si>
  <si>
    <t>7670B003-0075</t>
  </si>
  <si>
    <t>1423</t>
  </si>
  <si>
    <t>1423.00</t>
  </si>
  <si>
    <t>29171</t>
  </si>
  <si>
    <t>7245B476-0075</t>
  </si>
  <si>
    <t xml:space="preserve">
Height (mm)
335
Width (mm)
395
Depth (mm)
540
Color
Matt Stone Grey
Designer
Claudio Bellini
Awards
Designer Kitchen and Bathroom, EDIDA Turkey, Good Design, IF Design
Brand
VitrA
Finish
Hygiene+Clean
Bidet pipe access
Without bidet pipe
</t>
  </si>
  <si>
    <t>2540</t>
  </si>
  <si>
    <t>2540.00</t>
  </si>
  <si>
    <t>19658</t>
  </si>
  <si>
    <t>7985B003-0075</t>
  </si>
  <si>
    <t xml:space="preserve">
Height (mm)
400
Width (mm)
365
Depth (mm)
540
Color
White
Designer
VitrA Design Team
Awards
Good Design, IF Design
Brand
VitrA
Finish
Standard
Certificate
CE
Bidet pipe access
Without bidet pipe
</t>
  </si>
  <si>
    <t>1143</t>
  </si>
  <si>
    <t>1143.00</t>
  </si>
  <si>
    <t>24698</t>
  </si>
  <si>
    <t>Plural Wall-Hung WC</t>
  </si>
  <si>
    <t xml:space="preserve">
Height (mm)
345
Width (mm)
360
Depth (mm)
545
Color
Matt Black
Designer
Terri Pecora
Awards
EDIDA Turkey, Good Design, IF Design, Product Innovation Bath. GOLD
Brand
VitrA
Finish
VitraClean
Bidet pipe access
Without bidet pipe
</t>
  </si>
  <si>
    <t>2645.00</t>
  </si>
  <si>
    <t xml:space="preserve">
Height (mm)
345
Width (mm)
360
Depth (mm)
545
Designer
Terri Pecora
Color
Mat Beige
Awards
EDIDA Turkey, Good Design, IF Design, Product Innovation Bath. GOLD
Brand
VitrA
Finish
VitraClean
Bidet pipe access
Without bidet pipe
</t>
  </si>
  <si>
    <t>2385</t>
  </si>
  <si>
    <t>2385.00</t>
  </si>
  <si>
    <t>Plural Floorstanding WC</t>
  </si>
  <si>
    <t>7815B401-0075</t>
  </si>
  <si>
    <t xml:space="preserve">
Height (mm)
410
Width (mm)
360
Depth (mm)
550
Designer
Terri Pecora
Color
Matt white
Awards
EDIDA Turkey, Good Design, IF Design, Product Innovation Bath. GOLD
Brand
VitrA
Finish
VitraClean
Bidet pipe access
Without bidet pipe
</t>
  </si>
  <si>
    <t>2860</t>
  </si>
  <si>
    <t>2860.00</t>
  </si>
  <si>
    <t>23662</t>
  </si>
  <si>
    <t>7060B003-0075</t>
  </si>
  <si>
    <t xml:space="preserve">
Height (mm)
350
Width (mm)
355
Depth (mm)
540
Color
White
Designer
VitrA Design Team
Brand
VitrA
Finish
Hygiene
Bidet pipe access
Without bidet pipe
</t>
  </si>
  <si>
    <t>524</t>
  </si>
  <si>
    <t>179</t>
  </si>
  <si>
    <t>524.00</t>
  </si>
  <si>
    <t>23994</t>
  </si>
  <si>
    <t>Integra Close-Coupled WC</t>
  </si>
  <si>
    <t>7043B003-0096</t>
  </si>
  <si>
    <t xml:space="preserve">
Height (mm)
400
Width (mm)
355
Depth (mm)
620
Color
White
Designer
VitrA Design Team
Brand
VitrA
Finish
Hygiene
Certificate
CE, UKCA
Bidet pipe access
Without bidet pipe
</t>
  </si>
  <si>
    <t>684</t>
  </si>
  <si>
    <t>684.00</t>
  </si>
  <si>
    <t>24665</t>
  </si>
  <si>
    <t>Sento Close-Coupled WC</t>
  </si>
  <si>
    <t>5987B003-0096</t>
  </si>
  <si>
    <t xml:space="preserve">
Height (mm)
400
Width (mm)
360
Depth (mm)
650
Color
White
Designer
VitrA Design Team
Awards
Good Design, IF Design
Brand
VitrA
Finish
Hygiene
Bidet pipe access
Without bidet pipe
</t>
  </si>
  <si>
    <t>552</t>
  </si>
  <si>
    <t>1065.00</t>
  </si>
  <si>
    <t>24080</t>
  </si>
  <si>
    <t>Sento Cistern</t>
  </si>
  <si>
    <t>5639B003-5344</t>
  </si>
  <si>
    <t xml:space="preserve">
Height (mm)
410
Width (mm)
375
Depth (mm)
145
Color
White
Designer
VitrA Design Team
Brand
VitrA
Finish
Hygiene
Flush Type
Dual
</t>
  </si>
  <si>
    <t>591</t>
  </si>
  <si>
    <t>575</t>
  </si>
  <si>
    <t>591.00</t>
  </si>
  <si>
    <t>24081</t>
  </si>
  <si>
    <t>Metropole Close-Coupled WC</t>
  </si>
  <si>
    <t>5677B003-0096</t>
  </si>
  <si>
    <t xml:space="preserve">
Height (mm)
400
Width (mm)
350
Depth (mm)
645
Color
White
Designer
Noa
Brand
VitrA
Finish
Hygiene
Bidet pipe access
Without bidet pipe
</t>
  </si>
  <si>
    <t>965</t>
  </si>
  <si>
    <t>61</t>
  </si>
  <si>
    <t>965.00</t>
  </si>
  <si>
    <t>22212</t>
  </si>
  <si>
    <t>Metropole Cistern</t>
  </si>
  <si>
    <t>4471B003-5294</t>
  </si>
  <si>
    <t xml:space="preserve">
Height (mm)
430
Width (mm)
360
Depth (mm)
140
Color
White
Designer
Noa
Brand
VitrA
Finish
Hygiene
</t>
  </si>
  <si>
    <t>776</t>
  </si>
  <si>
    <t>63</t>
  </si>
  <si>
    <t>776.00</t>
  </si>
  <si>
    <t>19114</t>
  </si>
  <si>
    <t>Integra Cistern</t>
  </si>
  <si>
    <t>5428B003-5036</t>
  </si>
  <si>
    <t xml:space="preserve">
Height (mm)
380
Width (mm)
380
Depth (mm)
140
Color
White
Designer
Noa
Brand
VitrA
Finish
Hygiene
Flush Type
Dual
</t>
  </si>
  <si>
    <t>448</t>
  </si>
  <si>
    <t>31.00</t>
  </si>
  <si>
    <t>23271</t>
  </si>
  <si>
    <t>5428B003-0107</t>
  </si>
  <si>
    <t xml:space="preserve">
Height (mm)
380
Width (mm)
380
Depth (mm)
140
Color
White
Designer
Noa
Brand
VitrA
Finish
Hygiene
</t>
  </si>
  <si>
    <t>192</t>
  </si>
  <si>
    <t>48</t>
  </si>
  <si>
    <t>192.00</t>
  </si>
  <si>
    <t>24666</t>
  </si>
  <si>
    <t>S20 Cistern</t>
  </si>
  <si>
    <t>5422L003-0107</t>
  </si>
  <si>
    <t xml:space="preserve">
Height (mm)
400
Width (mm)
385
Depth (mm)
165
Color
White
Designer
Noa
Brand
VitrA
Finish
Hygiene
</t>
  </si>
  <si>
    <t>162</t>
  </si>
  <si>
    <t>290</t>
  </si>
  <si>
    <t>162.00</t>
  </si>
  <si>
    <t>24120</t>
  </si>
  <si>
    <t>S50 Close-Coupled WC</t>
  </si>
  <si>
    <t>5332L003-0096</t>
  </si>
  <si>
    <t xml:space="preserve">
Height (mm)
400
Width (mm)
355
Depth (mm)
655
Color
White
Designer
Noa
Brand
VitrA
Finish
Hygiene
Bidet pipe access
Without bidet pipe
</t>
  </si>
  <si>
    <t>463</t>
  </si>
  <si>
    <t>204</t>
  </si>
  <si>
    <t>463.00</t>
  </si>
  <si>
    <t>24110</t>
  </si>
  <si>
    <t>7748B083-0101</t>
  </si>
  <si>
    <t xml:space="preserve">
Height (mm)
340
Width (mm)
365
Depth (mm)
540
Color
Matt Black
Designer
VitrA Design Team
Awards
Good Design, IF Design
Brand
VitrA
Finish
Hygiene
Certificate
KIWA, LGA, NF
Bidet pipe access
Without bidet pipe
</t>
  </si>
  <si>
    <t>1310</t>
  </si>
  <si>
    <t>1310.00</t>
  </si>
  <si>
    <t>23201</t>
  </si>
  <si>
    <t>7748B003-0075</t>
  </si>
  <si>
    <t xml:space="preserve">
Height (mm)
340
Width (mm)
365
Depth (mm)
540
Color
White
Designer
VitrA Design Team
Certificate
KIWA, NF
Brand
VitrA
Finish
Hygiene
Bidet pipe access
Without bidet pipe
</t>
  </si>
  <si>
    <t>930</t>
  </si>
  <si>
    <t>930.00</t>
  </si>
  <si>
    <t>23992</t>
  </si>
  <si>
    <t>7043B003-0585</t>
  </si>
  <si>
    <t xml:space="preserve">
Height (mm)
400
Width (mm)
355
Depth (mm)
620
Color
White
Designer
VitrA Design Team
Brand
VitrA
Finish
Hygiene
Certificate
CE
Bidet pipe access
Without bidet pipe
</t>
  </si>
  <si>
    <t>624</t>
  </si>
  <si>
    <t>151</t>
  </si>
  <si>
    <t>624.00</t>
  </si>
  <si>
    <t>22852</t>
  </si>
  <si>
    <t>Memoria Wall-Hung WC</t>
  </si>
  <si>
    <t>5885B483-0101</t>
  </si>
  <si>
    <t xml:space="preserve">
Height (mm)
315
Width (mm)
430
Depth (mm)
540
Color
Matt Black
Designer
Christophe Pillet
Awards
German Design, German Design Award 2016, Good Design, IF Design, Reddot Design
Brand
VitrA
Finish
Hygiene+Clean
Bidet pipe access
Without bidet pipe
</t>
  </si>
  <si>
    <t>3237</t>
  </si>
  <si>
    <t>3237.00</t>
  </si>
  <si>
    <t>23595</t>
  </si>
  <si>
    <t>5885B420-0101</t>
  </si>
  <si>
    <t xml:space="preserve">
Height (mm)
315
Width (mm)
430
Depth (mm)
540
Designer
Christophe Pillet
Color
Mat Beige
Awards
German Design, German Design Award 2016, Good Design, IF Design, Reddot Design
Brand
VitrA
Finish
Hygiene+Clean
Bidet pipe access
Without bidet pipe
</t>
  </si>
  <si>
    <t>2901</t>
  </si>
  <si>
    <t>2901.00</t>
  </si>
  <si>
    <t>23594</t>
  </si>
  <si>
    <t>5885B403-0101</t>
  </si>
  <si>
    <t xml:space="preserve">
Height (mm)
315
Width (mm)
430
Depth (mm)
540
Color
White
Designer
Christophe Pillet
Awards
German Design, German Design Award 2016, Good Design, IF Design, Reddot Design
Brand
VitrA
Finish
Hygiene+Clean
Certificate
CE, UKCA
Bidet pipe access
Without bidet pipe
</t>
  </si>
  <si>
    <t>2415</t>
  </si>
  <si>
    <t>2415.00</t>
  </si>
  <si>
    <t>22627</t>
  </si>
  <si>
    <t>5885B401-0101</t>
  </si>
  <si>
    <t xml:space="preserve">
Height (mm)
315
Width (mm)
430
Depth (mm)
540
Designer
Christophe Pillet
Color
Matt white
Awards
German Design, German Design Award 2016, Good Design, IF Design, Reddot Design
Brand
VitrA
Finish
Hygiene+Clean
Bidet pipe access
Without bidet pipe
</t>
  </si>
  <si>
    <t>2922</t>
  </si>
  <si>
    <t>2922.00</t>
  </si>
  <si>
    <t>24027</t>
  </si>
  <si>
    <t>5676B003-0075</t>
  </si>
  <si>
    <t xml:space="preserve">
Height (mm)
330
Width (mm)
360
Depth (mm)
560
Color
White
Designer
Noa
Awards
Good Design, IF Design, Plus X
Brand
VitrA
Finish
Hygiene
Certificate
LGA
Bidet pipe access
Without bidet pipe
</t>
  </si>
  <si>
    <t>926</t>
  </si>
  <si>
    <t>926.00</t>
  </si>
  <si>
    <t>23905</t>
  </si>
  <si>
    <t>4448B003-0075</t>
  </si>
  <si>
    <t xml:space="preserve">
Height (mm)
330
Width (mm)
365
Depth (mm)
540
Color
White
Designer
VitrA Design Team
Awards
Good Design, IF Design
Brand
VitrA
Finish
Hygiene
Certificate
KIWA, LGA, NF, Watermark
Bidet pipe access
Without bidet pipe
</t>
  </si>
  <si>
    <t>758</t>
  </si>
  <si>
    <t>758.00</t>
  </si>
  <si>
    <t>23970</t>
  </si>
  <si>
    <t>Outline Bowl</t>
  </si>
  <si>
    <t>5994B476-0016</t>
  </si>
  <si>
    <t xml:space="preserve">
Height (mm)
145
Width (mm)
460
Depth (mm)
405
Color
Matt Stone Grey
Designer
VitrA Design Team
Tap Hole Options
No tap hole
Brand
VitrA
Finish
Hygiene+Clean
Overflow Hole
Without Overflow
Syphon
Syphon Not Included
</t>
  </si>
  <si>
    <t>2490</t>
  </si>
  <si>
    <t>2490.00</t>
  </si>
  <si>
    <t>28899</t>
  </si>
  <si>
    <t>Metropole Bowl</t>
  </si>
  <si>
    <t>7536B083-1398</t>
  </si>
  <si>
    <t xml:space="preserve">
Height (mm)
172
Width (mm)
800
Depth (mm)
397
Color
Matt Black
Designer
VitrA Design Team
Tap Hole Options
No tap hole
Brand
VitrA
Finish
Hygiene
Overflow Hole
Without Overflow
Syphon
Syphon Not Included
</t>
  </si>
  <si>
    <t>2150.00</t>
  </si>
  <si>
    <t>39471</t>
  </si>
  <si>
    <t>7535B003-1398</t>
  </si>
  <si>
    <t xml:space="preserve">
Height (mm)
170
Width (mm)
600
Depth (mm)
400
Color
White
Brand
VitrA
Finish
Hygiene
Designer
VitrA Design Team
Tap Hole Options
No tap hole
Overflow Hole
Without Overflow
Syphon
Syphon Not Included
</t>
  </si>
  <si>
    <t>1352</t>
  </si>
  <si>
    <t>1352.00</t>
  </si>
  <si>
    <t>39469</t>
  </si>
  <si>
    <t>7532B083-0673</t>
  </si>
  <si>
    <t xml:space="preserve">
Height (mm)
170
Width (mm)
400
Depth (mm)
400
Color
White
Designer
VitrA Design Team
Tap Hole Options
No tap hole
Brand
VitrA
Finish
Hygiene
Overflow Hole
With Overflow
Syphon
Syphon Not Included
</t>
  </si>
  <si>
    <t>1505</t>
  </si>
  <si>
    <t>1505.00</t>
  </si>
  <si>
    <t>39386</t>
  </si>
  <si>
    <t>Water Jewels Bowl</t>
  </si>
  <si>
    <t>4334B403-1361</t>
  </si>
  <si>
    <t xml:space="preserve">
Height (mm)
140
Width (mm)
400
Depth (mm)
400
Color
White
Awards
Good Design, IF Design
Designer
Matteo Thun
Tap Hole Options
No tap hole
Brand
VitrA
Finish
Hygiene+Clean
Overflow Hole
Without Overflow
Syphon
Syphon Not Included
</t>
  </si>
  <si>
    <t>712</t>
  </si>
  <si>
    <t>712.00</t>
  </si>
  <si>
    <t>29086</t>
  </si>
  <si>
    <t>Geo Bowl</t>
  </si>
  <si>
    <t>7427B001-0016</t>
  </si>
  <si>
    <t xml:space="preserve">
Height (mm)
170
Width (mm)
545
Depth (mm)
400
Color
Matt white
Designer
Pentagon
Tap Hole Options
No tap hole
Brand
VitrA
Finish
Hygiene
Overflow Hole
Without Overflow
Syphon
Syphon Not Included
</t>
  </si>
  <si>
    <t>763</t>
  </si>
  <si>
    <t>763.00</t>
  </si>
  <si>
    <t>23465</t>
  </si>
  <si>
    <t>S20 Undercounter Washbain</t>
  </si>
  <si>
    <t>7475B003-0618</t>
  </si>
  <si>
    <t xml:space="preserve">
Height (mm)
170
Width (mm)
550
Depth (mm)
370
Color
White
Designer
Noa
Tap Hole Options
No tap hole
Brand
VitrA
Finish
Hygiene
Overflow Hole
With Overflow
Certificate
CE
Syphon
Syphon Not Included
</t>
  </si>
  <si>
    <t>265</t>
  </si>
  <si>
    <t>196</t>
  </si>
  <si>
    <t>265.00</t>
  </si>
  <si>
    <t>23393</t>
  </si>
  <si>
    <t>7425B001-0016</t>
  </si>
  <si>
    <t xml:space="preserve">
Height (mm)
170
Width (mm)
600
Depth (mm)
400
Color
Matt white
Designer
Pentagon
Tap Hole Options
No tap hole
Brand
VitrA
Finish
Hygiene
Overflow Hole
Without Overflow
Syphon
Syphon Not Included
</t>
  </si>
  <si>
    <t>751</t>
  </si>
  <si>
    <t>751.00</t>
  </si>
  <si>
    <t>24505</t>
  </si>
  <si>
    <t>Plural Undercounter Washbain</t>
  </si>
  <si>
    <t>7810B474-1083</t>
  </si>
  <si>
    <t xml:space="preserve">
Height (mm)
135
Width (mm)
450
Depth (mm)
380
Color
Matt Clay Beige
Designer
Terri Pecora
Tap Hole Options
No tap hole
Brand
VitrA
Finish
Hygiene+Clean
Overflow Hole
Without Overflow
Syphon
Syphon Not Included
</t>
  </si>
  <si>
    <t>2007</t>
  </si>
  <si>
    <t>Matt Clay Beige</t>
  </si>
  <si>
    <t>2007.00</t>
  </si>
  <si>
    <t>24476</t>
  </si>
  <si>
    <t>7427B003-0016</t>
  </si>
  <si>
    <t xml:space="preserve">
Height (mm)
170
Width (mm)
545
Depth (mm)
400
Color
White
Designer
Pentagon
Tap Hole Options
No tap hole
Brand
VitrA
Finish
Standard
Overflow Hole
Without Overflow
Syphon
Syphon Not Included
</t>
  </si>
  <si>
    <t>620.00</t>
  </si>
  <si>
    <t>23629</t>
  </si>
  <si>
    <t>7427B003-0012</t>
  </si>
  <si>
    <t xml:space="preserve">
Height (mm)
170
Width (mm)
545
Depth (mm)
400
Color
White
Designer
Pentagon
Tap Hole Options
No tap hole
Brand
VitrA
Finish
Standard
Overflow Hole
With Overflow
Syphon
Syphon Not Included
</t>
  </si>
  <si>
    <t>556</t>
  </si>
  <si>
    <t>556.00</t>
  </si>
  <si>
    <t>23294</t>
  </si>
  <si>
    <t>7426B003-0041</t>
  </si>
  <si>
    <t xml:space="preserve">
Height (mm)
170
Width (mm)
600
Depth (mm)
430
Color
White
Designer
Pentagon
Tap Hole Options
Single Tap Hole
Brand
VitrA
Finish
Standard
Overflow Hole
Without Overflow
Syphon
Syphon Not Included
</t>
  </si>
  <si>
    <t>689</t>
  </si>
  <si>
    <t>689.00</t>
  </si>
  <si>
    <t>29197</t>
  </si>
  <si>
    <t>7426B003-0001</t>
  </si>
  <si>
    <t xml:space="preserve">
Height (mm)
170
Width (mm)
600
Depth (mm)
430
Color
White
Designer
Pentagon
Tap Hole Options
Single Tap Hole
Brand
VitrA
Finish
Standard
Overflow Hole
With Overflow
Syphon
Syphon Not Included
</t>
  </si>
  <si>
    <t>631</t>
  </si>
  <si>
    <t>631.00</t>
  </si>
  <si>
    <t>24006</t>
  </si>
  <si>
    <t>Integra Washbasin</t>
  </si>
  <si>
    <t>7068B003-0001</t>
  </si>
  <si>
    <t xml:space="preserve">
Height (mm)
195
Width (mm)
600
Depth (mm)
470
Color
White
Designer
VitrA Design Team
Tap Hole Options
Single Tap Hole
Brand
VitrA
Finish
Hygiene
Overflow Hole
With Overflow
Syphon
Syphon Not Included
</t>
  </si>
  <si>
    <t>307</t>
  </si>
  <si>
    <t>307.00</t>
  </si>
  <si>
    <t>23304</t>
  </si>
  <si>
    <t>7051B003-0001</t>
  </si>
  <si>
    <t xml:space="preserve">
Height (mm)
200
Width (mm)
650
Depth (mm)
490
Color
White
Designer
VitrA Design Team
Tap Hole Options
Single Tap Hole
Brand
VitrA
Finish
Hygiene
Overflow Hole
With Overflow
Syphon
Syphon Not Included
</t>
  </si>
  <si>
    <t>368</t>
  </si>
  <si>
    <t>368.00</t>
  </si>
  <si>
    <t>23395</t>
  </si>
  <si>
    <t>5993B403-0016</t>
  </si>
  <si>
    <t xml:space="preserve">
Height (mm)
145
Width (mm)
615
Depth (mm)
405
Color
White
Designer
VitrA Design Team
Tap Hole Options
No tap hole
Brand
VitrA
Finish
Hygiene+Clean
Overflow Hole
Without Overflow
Syphon
Syphon Not Included
</t>
  </si>
  <si>
    <t>1779</t>
  </si>
  <si>
    <t>1779.00</t>
  </si>
  <si>
    <t>22530</t>
  </si>
  <si>
    <t>6069B003-0012</t>
  </si>
  <si>
    <t xml:space="preserve">
Height (mm)
205
Width (mm)
585
Depth (mm)
450
Color
White
Designer
Noa
Tap Hole Options
No tap hole
Certificate
CE
Brand
VitrA
Finish
Hygiene
Overflow Hole
With Overflow
Syphon
Syphon Not Included
</t>
  </si>
  <si>
    <t>315</t>
  </si>
  <si>
    <t>541</t>
  </si>
  <si>
    <t>315.00</t>
  </si>
  <si>
    <t>24681</t>
  </si>
  <si>
    <t>6039B003-0012</t>
  </si>
  <si>
    <t xml:space="preserve">
Height (mm)
190
Width (mm)
470
Depth (mm)
380
Color
White
Designer
Noa
Tap Hole Options
No tap hole
Certificate
CE, ANQAS
Brand
VitrA
Finish
Hygiene
Overflow Hole
With Overflow
Syphon
Syphon Not Included
</t>
  </si>
  <si>
    <t>273</t>
  </si>
  <si>
    <t>62</t>
  </si>
  <si>
    <t>273.00</t>
  </si>
  <si>
    <t>24288</t>
  </si>
  <si>
    <t>Sento Semi-Recessed Washbasin</t>
  </si>
  <si>
    <t>5637B003-0001</t>
  </si>
  <si>
    <t xml:space="preserve">
Height (mm)
175
Width (mm)
535
Depth (mm)
455
Color
White
Designer
VitrA Design Team
Awards
Good Design, IF Design
Tap Hole Options
Single Tap Hole
Brand
VitrA
Finish
Hygiene
Overflow Hole
With Overflow
Syphon
Syphon Not Included
</t>
  </si>
  <si>
    <t>242</t>
  </si>
  <si>
    <t>242.00</t>
  </si>
  <si>
    <t>22656</t>
  </si>
  <si>
    <t>S20 Vanity Basin</t>
  </si>
  <si>
    <t>5523B003-0001</t>
  </si>
  <si>
    <t xml:space="preserve">
Height (mm)
175
Width (mm)
850
Depth (mm)
460
Color
White
Designer
Noa
Tap Hole Options
Single Tap Hole
Brand
VitrA
Finish
Hygiene
Overflow Hole
With Overflow
Syphon
Syphon Not Included
</t>
  </si>
  <si>
    <t>496</t>
  </si>
  <si>
    <t>496.00</t>
  </si>
  <si>
    <t>23265</t>
  </si>
  <si>
    <t>5521B003-0001</t>
  </si>
  <si>
    <t xml:space="preserve">
Height (mm)
165
Width (mm)
450
Depth (mm)
355
Color
White
Designer
Noa
Tap Hole Options
Single Tap Hole
Brand
VitrA
Finish
Hygiene
Overflow Hole
With Overflow
Certificate
CE
Syphon
Syphon Not Included
</t>
  </si>
  <si>
    <t>267</t>
  </si>
  <si>
    <t>267.00</t>
  </si>
  <si>
    <t>24692</t>
  </si>
  <si>
    <t>S20 Countertop Waashbasin</t>
  </si>
  <si>
    <t>5465B003-0001</t>
  </si>
  <si>
    <t xml:space="preserve">
Height (mm)
170
Width (mm)
550
Depth (mm)
450
Color
White
Designer
Noa
Tap Hole Options
Single Tap Hole
Brand
VitrA
Finish
Hygiene
Overflow Hole
With Overflow
Syphon
Syphon Not Included
</t>
  </si>
  <si>
    <t>322</t>
  </si>
  <si>
    <t>322.00</t>
  </si>
  <si>
    <t>20296</t>
  </si>
  <si>
    <t>5339B003-0012</t>
  </si>
  <si>
    <t xml:space="preserve">
Height (mm)
185
Width (mm)
530
Depth (mm)
415
Color
White
Designer
Noa
Tap Hole Options
No tap hole
Brand
VitrA
Finish
Hygiene
Overflow Hole
With Overflow
Syphon
Syphon Not Included
</t>
  </si>
  <si>
    <t>573</t>
  </si>
  <si>
    <t>573.00</t>
  </si>
  <si>
    <t>24682</t>
  </si>
  <si>
    <t>Syphon Cover</t>
  </si>
  <si>
    <t>6392L001-0159</t>
  </si>
  <si>
    <t>complementary-products</t>
  </si>
  <si>
    <t xml:space="preserve">
Height (mm)
114
Width (mm)
66
Depth (mm)
66
Designer
VitrA Design Team
Brand
VitrA
Color
Matt white
</t>
  </si>
  <si>
    <t>131</t>
  </si>
  <si>
    <t>131.00</t>
  </si>
  <si>
    <t>23607</t>
  </si>
  <si>
    <t>6392L020-0159</t>
  </si>
  <si>
    <t xml:space="preserve">
Height (mm)
114
Width (mm)
66
Depth (mm)
66
Color
Mat Beige
Designer
VitrA Design Team
Brand
VitrA
</t>
  </si>
  <si>
    <t>115</t>
  </si>
  <si>
    <t>115.00</t>
  </si>
  <si>
    <t>20374</t>
  </si>
  <si>
    <t>6392L070-0159</t>
  </si>
  <si>
    <t xml:space="preserve">
Height (mm)
114
Width (mm)
66
Depth (mm)
66
Designer
VitrA Design Team
Brand
VitrA
Color
Black
</t>
  </si>
  <si>
    <t>130.00</t>
  </si>
  <si>
    <t>20375</t>
  </si>
  <si>
    <t>A4579636</t>
  </si>
  <si>
    <t>Shower Sets</t>
  </si>
  <si>
    <t>Shower Systems</t>
  </si>
  <si>
    <t xml:space="preserve">
Height (mm)
725
Width (mm)
120
Depth (mm)
92
Color
Matt Black
Brand
VitrA
Designer
VitrA Design Team
Guarantee
5 year
Finish
Matte Black
Recommended Minimum Pressure
0.5-5 Bar(Recommended 1-3 Bar)
Mounting type
Wall Mounted
</t>
  </si>
  <si>
    <t>1718</t>
  </si>
  <si>
    <t>1718.00</t>
  </si>
  <si>
    <t>29324</t>
  </si>
  <si>
    <t>Slip Handshower Set</t>
  </si>
  <si>
    <t>A45711EXP</t>
  </si>
  <si>
    <t xml:space="preserve">
Height (mm)
652
Width (mm)
123
Depth (mm)
78
Brand
VitrA
Guarantee
5 year
Finish
Chrome
Color
Chrome
Recommended Minimum Pressure
0.5-5 Bar(Recommended 1-3 Bar)
Mounting type
Wall Mounted
</t>
  </si>
  <si>
    <t>397.05</t>
  </si>
  <si>
    <t>22996</t>
  </si>
  <si>
    <t>Master 1F Shower Set</t>
  </si>
  <si>
    <t>A45693EXP</t>
  </si>
  <si>
    <t xml:space="preserve">
Height (mm)
791
Width (mm)
177
Depth (mm)
158
Brand
VitrA
Guarantee
5 year
Finish
Chrome
Water Label Class
Green (6 &amp;lt; Flow ≤ 8)
Mounting type
Wall Mounted
Color
Chrome
Recommended Minimum Pressure
0.5-5 Bar(Recommended 1-3 Bar)
</t>
  </si>
  <si>
    <t>141.94</t>
  </si>
  <si>
    <t>23194</t>
  </si>
  <si>
    <t>Master Slot 3F Shower Set</t>
  </si>
  <si>
    <t>A45691EXP</t>
  </si>
  <si>
    <t xml:space="preserve">
Height (mm)
705
Width (mm)
122
Depth (mm)
115
Brand
VitrA
Guarantee
5 year
Finish
Chrome
Recommended Minimum Pressure
0.5-5 Bar(Recommended 1-3 Bar)
Water Label Class
Green (6 &amp;lt; Flow ≤ 8)
Mounting type
Wall Mounted
Color
Chrome
</t>
  </si>
  <si>
    <t>268.63</t>
  </si>
  <si>
    <t>24542</t>
  </si>
  <si>
    <t>Cozy 5F Shower Set</t>
  </si>
  <si>
    <t>A45682EXP</t>
  </si>
  <si>
    <t xml:space="preserve">
Height (mm)
815
Width (mm)
122
Depth (mm)
159
Brand
VitrA
Guarantee
5 year
Finish
Chrome
Water Label Class
Green (6 &amp;lt; Flow ≤ 8)
Color
Chrome
Recommended Minimum Pressure
0.5-5 Bar(Recommended 1-3 Bar)
Mounting type
Wall Mounted
</t>
  </si>
  <si>
    <t>233.31</t>
  </si>
  <si>
    <t>23971</t>
  </si>
  <si>
    <t>Bliss Rail Shower Set</t>
  </si>
  <si>
    <t>A45743EXP</t>
  </si>
  <si>
    <t xml:space="preserve">
Height (mm)
780
Width (mm)
240
Depth (mm)
87
Brand
VitrA
Guarantee
5 year
Finish
Chrome
Certificate
ACS, WRAS
Water Label Class
Yellow (8 &amp;lt; Flow Rate ≤ 10)
Mounting type
Wall Mounted
Flow Rate Value (1st Function)
8,8
Color
Chrome
Recommended Minimum Pressure
0.5-5 Bar(Recommended 1-3 Bar)
</t>
  </si>
  <si>
    <t>420.72</t>
  </si>
  <si>
    <t>24408</t>
  </si>
  <si>
    <t>A4574334EXP</t>
  </si>
  <si>
    <t xml:space="preserve">
Height (mm)
780
Width (mm)
240
Depth (mm)
87
Brand
VitrA
Guarantee
5 year
Finish
Stainless steel
Certificate
ACS, WRAS
Recommended Minimum Pressure
0.5-5 Bar(Recommended 1-3 Bar)
Water Label Class
Orange (10 &amp;lt; Flow Rate ≤ 13)
Color
Brushed Nickel
Mounting type
Wall Mounted
</t>
  </si>
  <si>
    <t>630.2</t>
  </si>
  <si>
    <t>24507</t>
  </si>
  <si>
    <t>A4574336EXP</t>
  </si>
  <si>
    <t xml:space="preserve">
Height (mm)
780
Width (mm)
240
Depth (mm)
87
Color
Matt Black
Brand
VitrA
Guarantee
5 year
Finish
Matte Black
Certificate
ACS, WRAS
Recommended Minimum Pressure
0.5-5 Bar(Recommended 1-3 Bar)
Water Label Class
Orange (10 &amp;lt; Flow Rate ≤ 13)
Mounting type
Wall Mounted
</t>
  </si>
  <si>
    <t>742.73</t>
  </si>
  <si>
    <t>19425</t>
  </si>
  <si>
    <t>Lite LS Showerhead-400mm</t>
  </si>
  <si>
    <t>A45645EXP</t>
  </si>
  <si>
    <t>shower heads</t>
  </si>
  <si>
    <t xml:space="preserve">
Height (mm)
53
Width (mm)
400
Depth (mm)
400
Brand
VitrA
Guarantee
5 year
Finish
Chrome
Color
Chrome
Recommended Minimum Pressure
0.5-5 Bar(Recommended 1-3 Bar)
Mounting type
From the Ceiling
</t>
  </si>
  <si>
    <t>1025.02</t>
  </si>
  <si>
    <t>24710</t>
  </si>
  <si>
    <t>Lite LC Showerhead-400 mm</t>
  </si>
  <si>
    <t>A45646EXP</t>
  </si>
  <si>
    <t xml:space="preserve">
Height (mm)
56
Width (mm)
400
Depth (mm)
400
Brand
VitrA
Guarantee
5 year
Finish
Chrome
Color
Chrome
Recommended Minimum Pressure
0.5-5 Bar(Recommended 1-3 Bar)
Mounting type
From the Ceiling
</t>
  </si>
  <si>
    <t>847.97</t>
  </si>
  <si>
    <t>24360</t>
  </si>
  <si>
    <t>Origin Classic Connection Pipe</t>
  </si>
  <si>
    <t>A4263125</t>
  </si>
  <si>
    <t xml:space="preserve">
Height (mm)
58
Width (mm)
58
Depth (mm)
340
Color
Brushed Gold
Brand
VitrA
Finish
PVD
Guarantee
5 year
Designer
VitrA Design Team
Recommended Minimum Pressure
0.5-10 bar(Recommended 3-5Bar)
Mounting type
Wall Mounted
Certificate
REACH
</t>
  </si>
  <si>
    <t>503.15</t>
  </si>
  <si>
    <t>28831</t>
  </si>
  <si>
    <t>Lite LS Headshower</t>
  </si>
  <si>
    <t>A45673EXP</t>
  </si>
  <si>
    <t xml:space="preserve">
Height (mm)
54
Width (mm)
300
Depth (mm)
300
Brand
VitrA
Guarantee
5 year
Finish
Chrome
Color
Chrome
Recommended Minimum Pressure
0.5-5 Bar(Recommended 1-3 Bar)
Mounting type
From the Ceiling
</t>
  </si>
  <si>
    <t>835.87</t>
  </si>
  <si>
    <t>22958</t>
  </si>
  <si>
    <t>Lite LC Shower Head</t>
  </si>
  <si>
    <t>A45674EXP</t>
  </si>
  <si>
    <t>719.08</t>
  </si>
  <si>
    <t>24050</t>
  </si>
  <si>
    <t>Connection Pipe 90 Degree Matte Black</t>
  </si>
  <si>
    <t>A4263136WTC</t>
  </si>
  <si>
    <t xml:space="preserve">
Height (mm)
58
Width (mm)
58
Depth (mm)
340
Color
Matt Black
Brand
VitrA
Finish
Matte Black
Guarantee
5 year
Designer
VitrA Design Team
Recommended Minimum Pressure
0.5-10 bar(Recommended 3-5Bar)
Mounting type
Wall Mounted
</t>
  </si>
  <si>
    <t>552.59</t>
  </si>
  <si>
    <t>29333</t>
  </si>
  <si>
    <t>Connection Pipe Wallmoun. Long M.Black</t>
  </si>
  <si>
    <t>A4565236WTC</t>
  </si>
  <si>
    <t xml:space="preserve">
Height (mm)
95
Width (mm)
65
Depth (mm)
356
Color
Matt Black
Brand
VitrA
Finish
Matte Black
Guarantee
5 year
Designer
VitrA Design Team
Recommended Minimum Pressure
0.5-5 Bar(Recommended 1-3 Bar)
Mounting type
Wall Mounted
</t>
  </si>
  <si>
    <t>228.86</t>
  </si>
  <si>
    <t>29318</t>
  </si>
  <si>
    <t>Suit Shower Mixer</t>
  </si>
  <si>
    <t>A4563839</t>
  </si>
  <si>
    <t xml:space="preserve">
Height (mm)
51
Width (mm)
250
Depth (mm)
250
Brand
VitrA
Finish
PVD
Recommended Minimum Pressure
0.5-5 Bar(Recommended 1-3 Bar)
Water Label Class
Red (&amp;gt;13)
Mounting type
From the Ceiling
Color
Glossy Black
Guarantee
5 year
Designer
VitrA Design Team
</t>
  </si>
  <si>
    <t>972.77</t>
  </si>
  <si>
    <t>29346</t>
  </si>
  <si>
    <t>Connection Pipe (Ceiling-Short)</t>
  </si>
  <si>
    <t>A45649</t>
  </si>
  <si>
    <t xml:space="preserve">
Height (mm)
104
Width (mm)
66
Depth (mm)
66
Brand
VitrA
Awards
Good Design
Guarantee
5 year
Finish
Chrome
Recommended Minimum Pressure
0.5-5 Bar(Recommended 1-3 Bar)
Mounting type
From the Ceiling
Color
Chrome
</t>
  </si>
  <si>
    <t>98.2</t>
  </si>
  <si>
    <t>22595</t>
  </si>
  <si>
    <t>Connection Pipe (Ceiling-Long)</t>
  </si>
  <si>
    <t>A45650</t>
  </si>
  <si>
    <t xml:space="preserve">
Height (mm)
289
Width (mm)
66
Depth (mm)
66
Brand
VitrA
Awards
Good Design
Guarantee
5 year
Finish
Chrome
Recommended Minimum Pressure
0.5-5 Bar(Recommended 1-3 Bar)
Mounting type
From the Ceiling
Color
Chrome
</t>
  </si>
  <si>
    <t>127.61</t>
  </si>
  <si>
    <t>24315</t>
  </si>
  <si>
    <t>Connection Pipe Wallmoun. Long</t>
  </si>
  <si>
    <t>A45652</t>
  </si>
  <si>
    <t xml:space="preserve">
Height (mm)
95
Width (mm)
65
Depth (mm)
356
Brand
VitrA
Awards
Good Design
Designer
VitrA Design Team
Guarantee
5 year
Spout Length
346
Finish
Chrome
Certificate
WRAS
Recommended Minimum Pressure
0.5-5 Bar(Recommended 1-3 Bar)
Mounting type
Wall Mounted
Color
Chrome
</t>
  </si>
  <si>
    <t>121.28</t>
  </si>
  <si>
    <t>24053</t>
  </si>
  <si>
    <t>Cascata Showerhead</t>
  </si>
  <si>
    <t>A45715</t>
  </si>
  <si>
    <t xml:space="preserve">
Brand
VitrA
Guarantee
5 year
Finish
Chrome
Recommended Minimum Pressure
Recommended (1-3)
Color
Chrome
Mounting type
Wall Mounted
</t>
  </si>
  <si>
    <t>545.42</t>
  </si>
  <si>
    <t>24404</t>
  </si>
  <si>
    <t>Suit Connection Pipe</t>
  </si>
  <si>
    <t>A4575339</t>
  </si>
  <si>
    <t xml:space="preserve">
Height (mm)
70
Width (mm)
65
Depth (mm)
350
Brand
VitrA
Spout Length
342
Finish
PVD
Recommended Minimum Pressure
0.5-5 Bar(Recommended 1-3 Bar)
Water Label Class
Red (&amp;gt;13)
Mounting type
Wall Mounted
Color
Glossy Black
Guarantee
5 year
Certificate
ACS
</t>
  </si>
  <si>
    <t>486.35</t>
  </si>
  <si>
    <t>28898</t>
  </si>
  <si>
    <t>Strato 2F Showerhead</t>
  </si>
  <si>
    <t>A45712</t>
  </si>
  <si>
    <t xml:space="preserve">
Height (mm)
120
Width (mm)
240
Depth (mm)
580
Brand
VitrA
Guarantee
5 year
Finish
Chrome
Color
Chrome
Recommended Minimum Pressure
0.5-5 Bar(Recommended 1-3 Bar)
Mounting type
From the Ceiling
</t>
  </si>
  <si>
    <t>2117.75</t>
  </si>
  <si>
    <t>24403</t>
  </si>
  <si>
    <t>Rain L Showerhead</t>
  </si>
  <si>
    <t>A45708WSA</t>
  </si>
  <si>
    <t xml:space="preserve">
Height (mm)
50
Width (mm)
220
Depth (mm)
220
Brand
VitrA
Guarantee
5 year
Finish
Chrome
Water Label Class
Yellow (8 &amp;lt; Flow Rate ≤ 10)
Color
Chrome
Recommended Minimum Pressure
0.5-5 Bar(Recommended 1-3 Bar)
Mounting type
From the Ceiling
</t>
  </si>
  <si>
    <t>222.19</t>
  </si>
  <si>
    <t>23958</t>
  </si>
  <si>
    <t>Connection Pipe Wallmoun. Long B.Nickel</t>
  </si>
  <si>
    <t>A4565234</t>
  </si>
  <si>
    <t xml:space="preserve">
Height (mm)
95
Width (mm)
65
Depth (mm)
356
Brand
VitrA
Guarantee
5 year
Color
Stainless Steel
Awards
Good Design
Designer
VitrA Design Team
Spout Length
346
Finish
Stainless steel
Recommended Minimum Pressure
0.5-5 Bar(Recommended 1-3 Bar)
Mounting type
Wall Mounted
Certificate
WRAS
</t>
  </si>
  <si>
    <t>182.19</t>
  </si>
  <si>
    <t>24101</t>
  </si>
  <si>
    <t>Connection Pipe (Ceiling-Long) B.Nickel</t>
  </si>
  <si>
    <t>A4565034</t>
  </si>
  <si>
    <t xml:space="preserve">
Height (mm)
289
Width (mm)
66
Depth (mm)
66
Brand
VitrA
Guarantee
5 year
Finish
Stainless steel
Recommended Minimum Pressure
0.5-5 Bar(Recommended 1-3 Bar)
Mounting type
From the Ceiling
Color
Brushed Nickel
</t>
  </si>
  <si>
    <t>182.89</t>
  </si>
  <si>
    <t>22964</t>
  </si>
  <si>
    <t>Connection Pipe (Ceiling-Short) B.Nickel</t>
  </si>
  <si>
    <t>A4564934</t>
  </si>
  <si>
    <t xml:space="preserve">
Height (mm)
104
Width (mm)
66
Depth (mm)
66
Brand
VitrA
Guarantee
5 year
Finish
Stainless steel
Recommended Minimum Pressure
0.5-5 Bar(Recommended 1-3 Bar)
Mounting type
From the Ceiling
Color
Brushed Nickel
</t>
  </si>
  <si>
    <t>166.67</t>
  </si>
  <si>
    <t>24378</t>
  </si>
  <si>
    <t>Bliss Showerhead</t>
  </si>
  <si>
    <t>A4574236EXP</t>
  </si>
  <si>
    <t xml:space="preserve">
Height (mm)
83
Width (mm)
240
Depth (mm)
240
Color
Matt Black
Brand
VitrA
Finish
PVD
Certificate
WRAS
Guarantee
5 year
Recommended Minimum Pressure
0.5-5 Bar(Recommended 1-3 Bar)
Mounting type
From the Ceiling
</t>
  </si>
  <si>
    <t>1005.89</t>
  </si>
  <si>
    <t>24405</t>
  </si>
  <si>
    <t>A45742EXP</t>
  </si>
  <si>
    <t xml:space="preserve">
Height (mm)
83
Width (mm)
240
Depth (mm)
240
Brand
VitrA
Finish
Chrome
Certificate
ACS, WRAS
Water Label Class
Green (6 &amp;lt; Flow ≤ 8)
Mounting type
From the Ceiling
Color
Chrome
Guarantee
5 year
Recommended Minimum Pressure
0.5-5 Bar(Recommended 1-3 Bar)
</t>
  </si>
  <si>
    <t>671.8</t>
  </si>
  <si>
    <t>24406</t>
  </si>
  <si>
    <t>A4574234EXP</t>
  </si>
  <si>
    <t xml:space="preserve">
Height (mm)
83
Width (mm)
240
Depth (mm)
240
Color
Brushed Nickel
Brand
VitrA
Finish
PVD
Certificate
WRAS
Guarantee
5 year
Recommended Minimum Pressure
0.5-5 Bar(Recommended 1-3 Bar)
Mounting type
From the Ceiling
</t>
  </si>
  <si>
    <t>1171.5</t>
  </si>
  <si>
    <t>24033</t>
  </si>
  <si>
    <t>Origin Showerhead Chrome</t>
  </si>
  <si>
    <t>A45638</t>
  </si>
  <si>
    <t xml:space="preserve">
Height (mm)
51
Width (mm)
250
Depth (mm)
250
Designer
VitrA Design Team
Guarantee
5 year
Brand
VitrA
Awards
Good Design
Certificate
WRAS
Recommended Minimum Pressure
0.5-5 Bar(Recommended 1-3 Bar)
Water Label Class
Red (&amp;gt;13)
Color
Chrome
Finish
Chrome
Mounting type
From the Ceiling
</t>
  </si>
  <si>
    <t>533.92</t>
  </si>
  <si>
    <t>19096</t>
  </si>
  <si>
    <t>Bliss Round Shower Column, B. Nickel</t>
  </si>
  <si>
    <t>A4578834EXP</t>
  </si>
  <si>
    <t>Shower Columns</t>
  </si>
  <si>
    <t xml:space="preserve">
Height (mm)
1150
Width (mm)
226
Depth (mm)
553
Color
Brushed Nickel
Brand
VitrA
Finish
PVD
Designer
VitrA Design Team
Guarantee
5 year
Recommended Minimum Pressure
0.5-5 Bar(Recommended 1-3 Bar)
Mounting type
Wall Mounted
</t>
  </si>
  <si>
    <t>2503.65</t>
  </si>
  <si>
    <t>29343</t>
  </si>
  <si>
    <t>Bliss Round Shower Column, Matt Black</t>
  </si>
  <si>
    <t>A4578836EXP</t>
  </si>
  <si>
    <t xml:space="preserve">
Height (mm)
1150
Width (mm)
226
Depth (mm)
553
Color
Matt Black
Brand
VitrA
Finish
Matte Black
Designer
VitrA Design Team
Guarantee
5 year
Recommended Minimum Pressure
0.5-5 Bar(Recommended 1-3 Bar)
Mounting type
Wall Mounted
</t>
  </si>
  <si>
    <t>29210</t>
  </si>
  <si>
    <t>Bliss Round Shower Column, Chrome</t>
  </si>
  <si>
    <t>A45788EXP</t>
  </si>
  <si>
    <t xml:space="preserve">
Height (mm)
1150
Width (mm)
226
Depth (mm)
553
Brand
VitrA
Finish
Standard
Color
Chrome
Designer
VitrA Design Team
Guarantee
5 year
Recommended Minimum Pressure
0.5-5 Bar(Recommended 1-3 Bar)
Mounting type
Wall Mounted
</t>
  </si>
  <si>
    <t>1669.74</t>
  </si>
  <si>
    <t>29327</t>
  </si>
  <si>
    <t>Bliss Square Shower Column, B. Nickel</t>
  </si>
  <si>
    <t>A4578934EXP</t>
  </si>
  <si>
    <t xml:space="preserve">
Height (mm)
1110
Width (mm)
226
Depth (mm)
506
Color
Brushed Nickel
Brand
VitrA
Finish
PVD
Designer
VitrA Design Team
Guarantee
5 year
Recommended Minimum Pressure
0.5-5 Bar(Recommended 1-3 Bar)
Mounting type
Wall Mounted
</t>
  </si>
  <si>
    <t>3004.75</t>
  </si>
  <si>
    <t>29325</t>
  </si>
  <si>
    <t>Bliss Square Shower Column, Matt Black</t>
  </si>
  <si>
    <t>A4578936EXP</t>
  </si>
  <si>
    <t xml:space="preserve">
Height (mm)
1110
Width (mm)
226
Depth (mm)
506
Color
Matt Black
Brand
VitrA
Finish
Matte Black
Designer
VitrA Design Team
Guarantee
5 year
Recommended Minimum Pressure
0.5-5 Bar(Recommended 1-3 Bar)
Mounting type
Wall Mounted
</t>
  </si>
  <si>
    <t>29336</t>
  </si>
  <si>
    <t>A45690EXP</t>
  </si>
  <si>
    <t>Handshower Sets</t>
  </si>
  <si>
    <t xml:space="preserve">
Height (mm)
85
Width (mm)
217
Depth (mm)
302
Brand
VitrA
Guarantee
5 year
Finish
Chrome
Recommended Minimum Pressure
0.5-5 Bar(Recommended 1-3 Bar)
Water Label Class
Green (6 &amp;lt; Flow ≤ 8)
Mounting type
Wall Mounted
Color
Chrome
</t>
  </si>
  <si>
    <t>183.27</t>
  </si>
  <si>
    <t>22669</t>
  </si>
  <si>
    <t>Solo C Handshower Set</t>
  </si>
  <si>
    <t>A45675EXP</t>
  </si>
  <si>
    <t xml:space="preserve">
Height (mm)
285
Width (mm)
110
Depth (mm)
92
Brand
VitrA
Finish
Chrome
Color
Chrome
Guarantee
5 year
Recommended Minimum Pressure
0.5-5 Bar(Recommended 1-3 Bar)
Mounting type
Wall Mounted
Certificate
REACH
</t>
  </si>
  <si>
    <t>111.84</t>
  </si>
  <si>
    <t>19087</t>
  </si>
  <si>
    <t>Origin Classic Shower systems</t>
  </si>
  <si>
    <t>A4262525</t>
  </si>
  <si>
    <t>Complementary Products</t>
  </si>
  <si>
    <t xml:space="preserve">
Height (mm)
90
Width (mm)
90
Depth (mm)
80
Color
Brushed Gold
Brand
VitrA
Finish
PVD
Designer
VitrA Design Team
Guarantee
5 year
Recommended Minimum Pressure
Min:0.5-Max:10Recommended(1-5)
Mounting type
Built-in
</t>
  </si>
  <si>
    <t>395</t>
  </si>
  <si>
    <t>40610</t>
  </si>
  <si>
    <t>Suit Handshower</t>
  </si>
  <si>
    <t>A4283239</t>
  </si>
  <si>
    <t xml:space="preserve">
Height (mm)
85
Width (mm)
85
Depth (mm)
75
Brand
VitrA
Spout Length
35
Finish
PVD
Recommended Minimum Pressure
Min:0.5-Max:10Recommended(1-5)
Water Label Class
Red (&amp;gt;13)
Mounting type
Built-in
Color
Glossy Black
Guarantee
5 year
Certificate
ACS
</t>
  </si>
  <si>
    <t>408.18</t>
  </si>
  <si>
    <t>29345</t>
  </si>
  <si>
    <t>Handshower Outlet (Wall Mounted)B.Nickel</t>
  </si>
  <si>
    <t>A4523334EXP</t>
  </si>
  <si>
    <t xml:space="preserve">
Height (mm)
52
Width (mm)
52
Depth (mm)
72
Color
Brushed Nickel
Brand
VitrA
Designer
VitrA Design Team
Guarantee
5 year
Finish
Brushed Nickel
Certificate
WRAS
Water Label Class
Red (&amp;gt;13)
Mounting type
Built-in
</t>
  </si>
  <si>
    <t>470.93</t>
  </si>
  <si>
    <t>29250</t>
  </si>
  <si>
    <t>Handshower Outlet (Wall Mounted)</t>
  </si>
  <si>
    <t>A4523336EXP</t>
  </si>
  <si>
    <t xml:space="preserve">
Height (mm)
52
Width (mm)
52
Depth (mm)
72
Color
Matt Black
Brand
VitrA
Designer
VitrA Design Team
Guarantee
5 year
Finish
Matte Black
Certificate
WRAS
Water Label Class
Red (&amp;gt;13)
Mounting type
Built-in
</t>
  </si>
  <si>
    <t>437.26</t>
  </si>
  <si>
    <t>29251</t>
  </si>
  <si>
    <t>A45233EXP</t>
  </si>
  <si>
    <t xml:space="preserve">
Height (mm)
52
Width (mm)
52
Depth (mm)
72
Brand
VitrA
Finish
Chrome
Designer
VitrA Design Team
Guarantee
5 year
Certificate
WRAS
Water Label Class
Red (&amp;gt;13)
Mounting type
Built-in
Color
Chrome
</t>
  </si>
  <si>
    <t>210.14</t>
  </si>
  <si>
    <t>22603</t>
  </si>
  <si>
    <t>Liquid Built-In Shower Set</t>
  </si>
  <si>
    <t>A42777</t>
  </si>
  <si>
    <t>Built in Shower Sets</t>
  </si>
  <si>
    <t xml:space="preserve">
Height (mm)
220
Width (mm)
240
Depth (mm)
400
Brand
VitrA
Designer
Tom Dixon
Awards
Wallpaper* Design
Finish
PVD
Recommended Minimum Pressure
Min:0.5-Max:10Recommended(1-5)
Water Label Class
Orange (10 &amp;lt; Flow Rate ≤ 13)
Mounting type
Wall Mounted
Flow Rate Value (1st Function)
HEAD SHOWER 18
Color
Chrome
Guarantee
Other
</t>
  </si>
  <si>
    <t>5145.71</t>
  </si>
  <si>
    <t>29337</t>
  </si>
  <si>
    <t>A4277739</t>
  </si>
  <si>
    <t xml:space="preserve">
Height (mm)
220
Width (mm)
240
Depth (mm)
400
Brand
VitrA
Designer
Tom Dixon
Awards
Wallpaper* Design
Finish
PVD
Recommended Minimum Pressure
Min:0.5-Max:10Recommended(1-5)
Water Label Class
Orange (10 &amp;lt; Flow Rate ≤ 13)
Mounting type
Wall Mounted
Color
Glossy Black
Guarantee
5 year
</t>
  </si>
  <si>
    <t>8169.35</t>
  </si>
  <si>
    <t>29326</t>
  </si>
  <si>
    <t>Equal Tall Unit</t>
  </si>
  <si>
    <t>66530</t>
  </si>
  <si>
    <t>bathroom units</t>
  </si>
  <si>
    <t>Bathroom Furniture</t>
  </si>
  <si>
    <t xml:space="preserve">
Height (mm)
141
Width (mm)
74
Depth (mm)
26
Color
Patterned Black Oak
Designer
Claudio Bellini
Guarantee
2 year
Body Color
Patterned Black Oak
Lighting
No
Brand
VitrA
Finish
PVC
Assembly
With legs
Grip
No handle
Finish-Body
PVC
Finish-Front
PVC
Cabinet Type
With door
Soft close
Yes
</t>
  </si>
  <si>
    <t>3772.02</t>
  </si>
  <si>
    <t>Patterned Black Oak</t>
  </si>
  <si>
    <t>22842</t>
  </si>
  <si>
    <t>Equal Lower Unit</t>
  </si>
  <si>
    <t>64108</t>
  </si>
  <si>
    <t xml:space="preserve">
Height (mm)
446
Width (mm)
632
Depth (mm)
421
Color
Elm
Designer
Claudio Bellini
Grip
No handle
Guarantee
2 year
Lighting
No
Certificate
CE
Awards
Designer Kitchen and Bathroom, EDIDA Turkey, Good Design, IF Design
Body Color
Elm
Finish-Front
PVC
Brand
VitrA
Finish
PVC
Soft close
Yes
Assembly
With legs
Finish-Body
PVC
Number of Doors
1
</t>
  </si>
  <si>
    <t>2455.36</t>
  </si>
  <si>
    <t>Elm</t>
  </si>
  <si>
    <t>24265</t>
  </si>
  <si>
    <t>64107</t>
  </si>
  <si>
    <t xml:space="preserve">
Height (mm)
446
Width (mm)
632
Depth (mm)
421
Color
Patterned Black Oak
Designer
Claudio Bellini
Grip
No handle
Guarantee
2 year
Lighting
No
Certificate
CE
Awards
Designer Kitchen and Bathroom, EDIDA Turkey, Good Design, IF Design
Body Color
Patterned Black Oak
Finish-Front
PVC
Brand
VitrA
Finish
PVC
Soft close
Yes
Assembly
With legs
Finish-Body
PVC
Number of Doors
1
</t>
  </si>
  <si>
    <t>2559.04</t>
  </si>
  <si>
    <t>20337</t>
  </si>
  <si>
    <t>Frame Open Unit</t>
  </si>
  <si>
    <t>61268</t>
  </si>
  <si>
    <t xml:space="preserve">
Height (mm)
415
Width (mm)
300
Depth (mm)
521
Color
Matt Soft Beige
Designer
VitrA Design Team
Guarantee
2 year
Lighting
No
Finish-Body
Lacquer
Certificate
CE
Awards
Good Design, IF Design
Body Color
Matte Soft Taupe
Brand
VitrA
Finish
Lacquered
Assembly
Wall hung
</t>
  </si>
  <si>
    <t>1463.34</t>
  </si>
  <si>
    <t>Matt Soft Beige</t>
  </si>
  <si>
    <t>22599</t>
  </si>
  <si>
    <t>Frame Washbasin Unit</t>
  </si>
  <si>
    <t>61456</t>
  </si>
  <si>
    <t>washbasin-units</t>
  </si>
  <si>
    <t xml:space="preserve">
Height (mm)
412
Width (mm)
800
Depth (mm)
521
Color
Matt Soft Beige
Awards
Good Design, IF Design
Tap Hole Options
Without Faucet Hole
Body Color
Matte Soft Taupe
Grip
No handle
Guarantee
2 year
Lighting type
Indoor Lighting
Lighting
Yes
Assembly
Wall hung
Finish-Body
Lacquer
Finish-Front
PVC
Syphon
Syphon Not Included
Brand
VitrA
Driver IP
IP67
Finish
Lacquered
Kelvin
2700K
LED IP
IP44
Soft close
Yes
Syphon Cut-Out
No
Led Switch
Motion sensor
Tap Hole Side
Middle
Energy Label
G
Designer
VitrA Design Team
Washbasin Type
With ceramic undercounter sink
Washbasin colour
12
Number of Doors
1
Watt
6,5 W
</t>
  </si>
  <si>
    <t>5124</t>
  </si>
  <si>
    <t>5124.00</t>
  </si>
  <si>
    <t>24480</t>
  </si>
  <si>
    <t>Root Flat Washbasin Unit</t>
  </si>
  <si>
    <t>66426</t>
  </si>
  <si>
    <t xml:space="preserve">
Height (mm)
395
Width (mm)
764
Depth (mm)
451
Color
Glossy white
Designer
VitrA Design Team
Tap Hole Options
1 Faucet Hole
Guarantee
2 year
Assembly
Wall hung
Finish-Front
PET
Lighting
No
Finish-Body
PET
Tap Hole Side
Middle
Syphon
Syphon Included
Brand
VitrA
Finish
PET
Soft close
Yes
Syphon Cut-Out
Yes
Body Color
White high gloss
Grip
Root Bar Handle
Washbasin Type
Angular vanity
Washbasin colour
12
Number of Doors
1
</t>
  </si>
  <si>
    <t>2099</t>
  </si>
  <si>
    <t>Glossy white</t>
  </si>
  <si>
    <t>2099.00</t>
  </si>
  <si>
    <t>23323</t>
  </si>
  <si>
    <t>66422</t>
  </si>
  <si>
    <t xml:space="preserve">
Height (mm)
395
Width (mm)
764
Depth (mm)
451
Color
Natural Oak
Designer
VitrA Design Team
Tap Hole Options
1 Faucet Hole
Guarantee
2 year
Assembly
Wall hung
Finish-Front
Melamine
Body Color
Natural Oak
Lighting
No
Finish-Body
Melamine
Tap Hole Side
Middle
Syphon
Syphon Included
Brand
VitrA
Finish
Melamine​​​
Soft close
Yes
Syphon Cut-Out
Yes
Grip
Root Bar Handle
Washbasin Type
Angular vanity
Washbasin colour
12
Number of Doors
1
</t>
  </si>
  <si>
    <t>2082</t>
  </si>
  <si>
    <t>2082.00</t>
  </si>
  <si>
    <t>22652</t>
  </si>
  <si>
    <t>66420</t>
  </si>
  <si>
    <t xml:space="preserve">
Height (mm)
395
Width (mm)
764
Depth (mm)
451
Color
Walnut
Designer
VitrA Design Team
Tap Hole Options
1 Faucet Hole
Guarantee
2 year
Assembly
Wall hung
Finish-Front
Melamine
Body Color
Walnut
Lighting
No
Finish-Body
Melamine
Tap Hole Side
Middle
Syphon
Syphon Included
Brand
VitrA
Finish
Melamine​​​
Soft close
Yes
Syphon Cut-Out
Yes
Grip
Root Bar Handle
Washbasin Type
Angular vanity
Washbasin colour
12
Number of Doors
1
</t>
  </si>
  <si>
    <t>2097</t>
  </si>
  <si>
    <t>2097.00</t>
  </si>
  <si>
    <t>22274</t>
  </si>
  <si>
    <t>66427</t>
  </si>
  <si>
    <t xml:space="preserve">
Height (mm)
395
Width (mm)
764
Depth (mm)
451
Color
Glossy white
Designer
VitrA Design Team
Tap Hole Options
1 Faucet Hole
Guarantee
2 year
Assembly
Wall hung
Finish-Front
PET
Lighting
No
Finish-Body
PET
Tap Hole Side
Middle
Syphon
Syphon Included
Brand
VitrA
Finish
PET
Soft close
Yes
Syphon Cut-Out
Yes
Body Color
White high gloss
Grip
Root Bar Handle
Washbasin colour
12
Number of Doors
1
Washbasin Type
Round vanity
</t>
  </si>
  <si>
    <t>2011</t>
  </si>
  <si>
    <t>2011.00</t>
  </si>
  <si>
    <t>23332</t>
  </si>
  <si>
    <t>66423</t>
  </si>
  <si>
    <t xml:space="preserve">
Height (mm)
395
Width (mm)
764
Depth (mm)
451
Color
Natural Oak
Designer
VitrA Design Team
Tap Hole Options
1 Faucet Hole
Guarantee
2 year
Assembly
Wall hung
Finish-Front
Melamine
Body Color
Natural Oak
Lighting
No
Finish-Body
Melamine
Tap Hole Side
Middle
Syphon
Syphon Included
Brand
VitrA
Finish
Melamine​​​
Soft close
Yes
Syphon Cut-Out
Yes
Grip
Root Bar Handle
Washbasin colour
12
Number of Doors
1
Washbasin Type
Round vanity
</t>
  </si>
  <si>
    <t>2031</t>
  </si>
  <si>
    <t>2031.00</t>
  </si>
  <si>
    <t>22153</t>
  </si>
  <si>
    <t>66421</t>
  </si>
  <si>
    <t xml:space="preserve">
Height (mm)
395
Width (mm)
764
Depth (mm)
451
Color
Walnut
Designer
VitrA Design Team
Tap Hole Options
1 Faucet Hole
Guarantee
2 year
Assembly
Wall hung
Finish-Front
Melamine
Body Color
Walnut
Lighting
No
Finish-Body
Melamine
Tap Hole Side
Middle
Syphon
Syphon Included
Brand
VitrA
Finish
Melamine​​​
Soft close
Yes
Syphon Cut-Out
Yes
Grip
Root Bar Handle
Washbasin colour
12
Number of Doors
1
Washbasin Type
Round vanity
</t>
  </si>
  <si>
    <t>19111</t>
  </si>
  <si>
    <t xml:space="preserve">
Height (mm)
395
Width (mm)
564
Depth (mm)
451
Color
Natural Oak
Designer
VitrA Design Team
Tap Hole Options
1 Faucet Hole
Guarantee
2 year
Assembly
Wall hung
Finish-Front
Melamine
Body Color
Natural Oak
Lighting
No
Finish-Body
Melamine
Tap Hole Side
Middle
Syphon
Syphon Included
Brand
VitrA
Finish
Melamine​​​
Soft close
Yes
Syphon Cut-Out
Yes
Grip
Root Bar Handle
Washbasin Type
Angular vanity
Washbasin colour
12
Number of Doors
1
</t>
  </si>
  <si>
    <t xml:space="preserve">
Height (mm)
395
Width (mm)
564
Depth (mm)
451
Color
Walnut
Designer
VitrA Design Team
Tap Hole Options
1 Faucet Hole
Guarantee
2 year
Assembly
Wall hung
Finish-Front
Melamine
Body Color
Walnut
Lighting
No
Finish-Body
Melamine
Tap Hole Side
Middle
Syphon
Syphon Included
Brand
VitrA
Finish
Melamine​​​
Soft close
Yes
Syphon Cut-Out
Yes
Grip
Root Bar Handle
Washbasin Type
Angular vanity
Washbasin colour
12
Number of Doors
1
</t>
  </si>
  <si>
    <t>1798</t>
  </si>
  <si>
    <t xml:space="preserve">
Height (mm)
395
Width (mm)
564
Depth (mm)
451
Color
Glossy white
Designer
VitrA Design Team
Tap Hole Options
1 Faucet Hole
Guarantee
2 year
Assembly
Wall hung
Finish-Front
PET
Lighting
No
Finish-Body
PET
Tap Hole Side
Middle
Syphon
Syphon Included
Brand
VitrA
Finish
PET
Soft close
Yes
Syphon Cut-Out
Yes
Body Color
White high gloss
Grip
Root Bar Handle
Washbasin colour
12
Number of Doors
1
Washbasin Type
Round vanity
</t>
  </si>
  <si>
    <t>1934</t>
  </si>
  <si>
    <t xml:space="preserve">
Height (mm)
395
Width (mm)
564
Depth (mm)
451
Color
Walnut
Designer
VitrA Design Team
Tap Hole Options
1 Faucet Hole
Guarantee
2 year
Assembly
Wall hung
Finish-Front
Melamine
Body Color
Walnut
Lighting
No
Finish-Body
Melamine
Tap Hole Side
Middle
Syphon
Syphon Included
Brand
VitrA
Finish
Melamine​​​
Soft close
Yes
Syphon Cut-Out
Yes
Grip
Root Bar Handle
Washbasin colour
12
Number of Doors
1
Washbasin Type
Round vanity
</t>
  </si>
  <si>
    <t>1895</t>
  </si>
  <si>
    <t>68376</t>
  </si>
  <si>
    <t xml:space="preserve">
Height (mm)
650
Width (mm)
1167
Depth (mm)
451
Color
Cordoba
Designer
VitrA Design Team
Guarantee
2 year
Assembly
Wall hung
Finish-Front
Melamine
Certificate
CE
Tap Hole Options
2 Faucet Holes
Body Color
Cordoba
Lighting
No
Finish-Body
Melamine
Syphon
Syphon Included
Brand
VitrA
Finish
PET
Soft close
Yes
Syphon Cut-Out
Yes
Tap Hole Side
Double Bowl
Grip
Root Bar Handle
Washbasin colour
12
Washbasin Type
Round vanity
</t>
  </si>
  <si>
    <t>4089</t>
  </si>
  <si>
    <t>4089.00</t>
  </si>
  <si>
    <t>22846</t>
  </si>
  <si>
    <t>68227</t>
  </si>
  <si>
    <t xml:space="preserve">
Height (mm)
395
Width (mm)
764
Depth (mm)
451
Color
Cordoba
Designer
VitrA Design Team
Tap Hole Options
1 Faucet Hole
Guarantee
2 year
Assembly
Wall hung
Finish-Front
Melamine
Body Color
Cordoba
Lighting
No
Finish-Body
Melamine
Tap Hole Side
Middle
Syphon
Syphon Included
Brand
VitrA
Finish
PET
Soft close
Yes
Syphon Cut-Out
Yes
Grip
Root Bar Handle
Washbasin colour
12
Number of Doors
1
Washbasin Type
Round vanity
</t>
  </si>
  <si>
    <t>19148</t>
  </si>
  <si>
    <t>68223</t>
  </si>
  <si>
    <t xml:space="preserve">
Height (mm)
395
Width (mm)
764
Depth (mm)
451
Color
Cordoba
Designer
VitrA Design Team
Tap Hole Options
1 Faucet Hole
Guarantee
2 year
Assembly
Wall hung
Finish-Front
Melamine
Body Color
Cordoba
Lighting
No
Finish-Body
Melamine
Tap Hole Side
Middle
Syphon
Syphon Included
Brand
VitrA
Finish
PET
Soft close
Yes
Syphon Cut-Out
Yes
Grip
Root Bar Handle
Washbasin Type
Angular vanity
Washbasin colour
12
Number of Doors
1
</t>
  </si>
  <si>
    <t>22276</t>
  </si>
  <si>
    <t xml:space="preserve">
Height (mm)
395
Width (mm)
564
Depth (mm)
451
Color
Cordoba
Designer
VitrA Design Team
Tap Hole Options
1 Faucet Hole
Guarantee
2 year
Assembly
Wall hung
Finish-Front
Melamine
Body Color
Cordoba
Lighting
No
Finish-Body
Melamine
Tap Hole Side
Middle
Syphon
Syphon Included
Brand
VitrA
Finish
PET
Soft close
Yes
Syphon Cut-Out
Yes
Grip
Root Bar Handle
Washbasin Type
Angular vanity
Washbasin colour
12
Number of Doors
1
</t>
  </si>
  <si>
    <t xml:space="preserve">
Height (mm)
650
Width (mm)
1167
Depth (mm)
451
Color
Walnut
Designer
VitrA Design Team
Guarantee
2 year
Assembly
Wall hung
Finish-Front
Melamine
Certificate
CE
Tap Hole Options
2 Faucet Holes
Body Color
Walnut
Lighting
No
Finish-Body
Melamine
Syphon
Syphon Included
Brand
VitrA
Finish
Melamine​​​
Soft close
Yes
Syphon Cut-Out
Yes
Tap Hole Side
Double Bowl
Grip
Root Bar Handle
Washbasin colour
12
Washbasin Type
Round vanity
</t>
  </si>
  <si>
    <t>4283</t>
  </si>
  <si>
    <t>4283.00</t>
  </si>
  <si>
    <t xml:space="preserve">
Height (mm)
395
Width (mm)
964
Depth (mm)
451
Color
Walnut
Designer
VitrA Design Team
Tap Hole Options
1 Faucet Hole
Guarantee
2 year
Assembly
Wall hung
Finish-Front
Melamine
Body Color
Walnut
Lighting
No
Finish-Body
Melamine
Tap Hole Side
Middle
Syphon
Syphon Included
Brand
VitrA
Finish
Melamine​​​
Soft close
Yes
Syphon Cut-Out
Yes
Grip
Root Bar Handle
Washbasin colour
12
Number of Doors
1
Washbasin Type
Round vanity
</t>
  </si>
  <si>
    <t>68257</t>
  </si>
  <si>
    <t xml:space="preserve">
Height (mm)
395
Width (mm)
964
Depth (mm)
451
Color
Cordoba
Designer
VitrA Design Team
Tap Hole Options
1 Faucet Hole
Guarantee
2 year
Assembly
Wall hung
Finish-Front
Melamine
Body Color
Cordoba
Lighting
No
Finish-Body
Melamine
Tap Hole Side
Middle
Syphon
Syphon Included
Brand
VitrA
Finish
PET
Soft close
Yes
Syphon Cut-Out
Yes
Grip
Root Bar Handle
Washbasin colour
12
Number of Doors
1
Washbasin Type
Round vanity
</t>
  </si>
  <si>
    <t>2181</t>
  </si>
  <si>
    <t>2181.00</t>
  </si>
  <si>
    <t>23057</t>
  </si>
  <si>
    <t>68246</t>
  </si>
  <si>
    <t xml:space="preserve">
Height (mm)
395
Width (mm)
964
Depth (mm)
451
Color
Walnut
Designer
VitrA Design Team
Tap Hole Options
1 Faucet Hole
Guarantee
2 year
Assembly
Wall hung
Finish-Front
Melamine
Body Color
Walnut
Lighting
No
Finish-Body
Melamine
Tap Hole Side
Middle
Syphon
Syphon Included
Brand
VitrA
Finish
Melamine​​​
Soft close
Yes
Syphon Cut-Out
Yes
Grip
Root Bar Handle
Washbasin Type
Angular vanity
Washbasin colour
12
Number of Doors
1
</t>
  </si>
  <si>
    <t>2045</t>
  </si>
  <si>
    <t>2045.00</t>
  </si>
  <si>
    <t>23324</t>
  </si>
  <si>
    <t xml:space="preserve">
Height (mm)
395
Width (mm)
964
Depth (mm)
451
Color
Natural Oak
Designer
VitrA Design Team
Tap Hole Options
1 Faucet Hole
Guarantee
2 year
Assembly
Wall hung
Finish-Front
Melamine
Body Color
Natural Oak
Lighting
No
Finish-Body
Melamine
Tap Hole Side
Middle
Syphon
Syphon Included
Brand
VitrA
Finish
Melamine​​​
Soft close
Yes
Syphon Cut-Out
Yes
Grip
Root Bar Handle
Washbasin Type
Angular vanity
Washbasin colour
12
Number of Doors
1
</t>
  </si>
  <si>
    <t>2214</t>
  </si>
  <si>
    <t>2214.00</t>
  </si>
  <si>
    <t>Equal Washbasin Unit</t>
  </si>
  <si>
    <t>66528</t>
  </si>
  <si>
    <t xml:space="preserve">
Height (mm)
837
Width (mm)
1320
Depth (mm)
508
Color
Patterned Black Oak
Designer
Claudio Bellini
Guarantee
2 year
Lighting
No
Body Color
Patterned Black Oak
Syphon
Syphon Not Included
Brand
VitrA
Finish
PVC
Tap Hole Options
2 Faucet Holes
Assembly
With legs
Tap Hole Side
Double Bowl
Grip
Push to open
Finish-Body
PVC
Finish-Front
PVC
Soft close
Yes
Syphon Cut-Out
No
Washbasin colour
13
Washbasin Type
Ceramic vanity double bowl
Number of Doors
2
</t>
  </si>
  <si>
    <t>5140</t>
  </si>
  <si>
    <t>5140.00</t>
  </si>
  <si>
    <t>24508</t>
  </si>
  <si>
    <t>Sento Washbasin Unit</t>
  </si>
  <si>
    <t>65875</t>
  </si>
  <si>
    <t xml:space="preserve">
Height (mm)
520
Width (mm)
1000
Depth (mm)
446
Color
Matt Fiyord Green
Tap Hole Options
1 Faucet Hole
Grip
No handle
Guarantee
2 year
Lighting type
Ambiance LED
Assembly
Wall hung
Certificate
CE
Awards
Good Design, IF Design
Body Color
Matt fijord green
Lighting
Yes
Finish-Front
PVC
Tap Hole Side
Middle
Syphon
Syphon Not Included
Brand
VitrA
Driver IP
IP67
Finish
PVC
Kelvin
3000K
Led Switch
Motion sensor
Soft close
Yes
Syphon Cut-Out
No
Finish-Body
PVC
Energy Label
G
LED IP
IP44
Designer
VitrA Design Team
Washbasin Type
Ceramic vanity with sink
Washbasin colour
12
Number of Doors
1
Watt
6 W
</t>
  </si>
  <si>
    <t>3305</t>
  </si>
  <si>
    <t>Matt Fiyord Green</t>
  </si>
  <si>
    <t>3305.00</t>
  </si>
  <si>
    <t>24359</t>
  </si>
  <si>
    <t>64098</t>
  </si>
  <si>
    <t xml:space="preserve">
Height (mm)
208
Width (mm)
1326
Depth (mm)
520
Color
Elm
Designer
Claudio Bellini
Guarantee
2 year
Lighting
No
Certificate
CE
Awards
Designer Kitchen and Bathroom, EDIDA Turkey, Good Design, IF Design
Tap Hole Options
2 Faucet Holes
Body Color
Elm
Washbasin Type
Ceramic vanity double bowl
Assembly
Wall hung
Finish-Front
PVC
Tap Hole Side
Double Bowl
Syphon
Syphon Not Included
Brand
VitrA
Finish
PVC
Finish-Body
PVC
Washbasin colour
12
Syphon Cut-Out
No
</t>
  </si>
  <si>
    <t>3758</t>
  </si>
  <si>
    <t>3758.00</t>
  </si>
  <si>
    <t>24353</t>
  </si>
  <si>
    <t>64097</t>
  </si>
  <si>
    <t xml:space="preserve">
Height (mm)
208
Width (mm)
1326
Depth (mm)
520
Color
Patterned Black Oak
Designer
Claudio Bellini
Guarantee
2 year
Lighting
No
Certificate
CE
Awards
Designer Kitchen and Bathroom, EDIDA Turkey, Good Design, IF Design
Tap Hole Options
2 Faucet Holes
Body Color
Patterned Black Oak
Washbasin Type
Ceramic vanity double bowl
Assembly
Wall hung
Finish-Front
PVC
Tap Hole Side
Double Bowl
Syphon
Syphon Not Included
Brand
VitrA
Finish
PVC
Finish-Body
PVC
Washbasin colour
12
Syphon Cut-Out
No
</t>
  </si>
  <si>
    <t>3686</t>
  </si>
  <si>
    <t>3686.00</t>
  </si>
  <si>
    <t>24352</t>
  </si>
  <si>
    <t>64083</t>
  </si>
  <si>
    <t xml:space="preserve">
Height (mm)
205
Width (mm)
838
Depth (mm)
451
Designer
Claudio Bellini
Tap Hole Options
1 Faucet Hole
Guarantee
2 year
Lighting
No
Certificate
CE
Awards
Designer Kitchen and Bathroom, EDIDA Turkey, Good Design, IF Design
Assembly
Wall hung
Syphon
Syphon Not Included
Brand
VitrA
Tap Hole Side
Middle
Washbasin Type
Ceramic vanity with sink
Washbasin colour
12
Syphon Cut-Out
No
</t>
  </si>
  <si>
    <t>2164</t>
  </si>
  <si>
    <t>2164.00</t>
  </si>
  <si>
    <t>20915</t>
  </si>
  <si>
    <t>64081</t>
  </si>
  <si>
    <t xml:space="preserve">
Height (mm)
205
Width (mm)
638
Depth (mm)
451
Designer
Claudio Bellini
Tap Hole Options
1 Faucet Hole
Guarantee
2 year
Lighting
No
Certificate
CE
Awards
Designer Kitchen and Bathroom, EDIDA Turkey, Good Design, IF Design
Assembly
Wall hung
Syphon
Syphon Not Included
Brand
VitrA
Tap Hole Side
Middle
Washbasin Type
Ceramic vanity with sink
Washbasin colour
12
Syphon Cut-Out
No
</t>
  </si>
  <si>
    <t>1764</t>
  </si>
  <si>
    <t>1764.00</t>
  </si>
  <si>
    <t>20666</t>
  </si>
  <si>
    <t>60820</t>
  </si>
  <si>
    <t xml:space="preserve">
Height (mm)
520
Width (mm)
1000
Depth (mm)
446
Color
Matt Anthracite
Tap Hole Options
1 Faucet Hole
Guarantee
2 year
Lighting type
Ambiance LED
Lighting
Yes
Certificate
CE
Awards
Good Design, IF Design
Body Color
Matte Anthracite
Grip
No handle
Assembly
Wall hung
Finish-Front
PVC
Syphon
Syphon Not Included
Brand
VitrA
Driver IP
IP67
Finish
PVC
Kelvin
3000K
Led Switch
Motion sensor
Soft close
Yes
Syphon Cut-Out
No
Finish-Body
PVC
Tap Hole Side
Middle
Energy Label
G
LED IP
IP44
Watt
6 W
Number of Doors
1
Designer
VitrA Design Team
Washbasin Type
Ceramic vanity with sink
Washbasin colour
12
</t>
  </si>
  <si>
    <t>3790</t>
  </si>
  <si>
    <t>Matt Anthracite</t>
  </si>
  <si>
    <t>3790.00</t>
  </si>
  <si>
    <t>24503</t>
  </si>
  <si>
    <t>Memoria Infinit Bowl</t>
  </si>
  <si>
    <t>M58000003000</t>
  </si>
  <si>
    <t xml:space="preserve">
Height (mm)
110
Width (mm)
600
Depth (mm)
440
Color
White
Brand
VitrA
Finish
Mineral Casting
Assembly
Not available
Designer
VitrA Design Team
Tap Hole Options
Without Faucet Hole
Washbasin Type
Bowl
Tap Hole Side
Middle
Washbasin colour
12
</t>
  </si>
  <si>
    <t>2095</t>
  </si>
  <si>
    <t>2095.00</t>
  </si>
  <si>
    <t>23144</t>
  </si>
  <si>
    <t>M58000002000</t>
  </si>
  <si>
    <t xml:space="preserve">
Height (mm)
110
Width (mm)
800
Depth (mm)
400
Color
White
Brand
VitrA
Finish
Mineral Casting
Assembly
Not available
Designer
VitrA Design Team
Tap Hole Options
Without Faucet Hole
Washbasin Type
Bowl
Tap Hole Side
Middle
Washbasin colour
12
</t>
  </si>
  <si>
    <t>2660</t>
  </si>
  <si>
    <t>2660.00</t>
  </si>
  <si>
    <t>23143</t>
  </si>
  <si>
    <t>Equal Flat Mirror</t>
  </si>
  <si>
    <t>64105</t>
  </si>
  <si>
    <t>mirrors</t>
  </si>
  <si>
    <t xml:space="preserve">
Height (mm)
1380
Width (mm)
834
Depth (mm)
44
Designer
Claudio Bellini
Guarantee
2 year
Lighting type
Faucet with LED Lighting
Lighting
Yes
Certificate
CE
Awards
Designer Kitchen and Bathroom, EDIDA Turkey, Good Design, IF Design
Brand
VitrA
Kelvin
3000K
LED IP
IP44
Energy Label
G
Led Switch
On/Off Rope
Assembly
Wall hung
Watt
5,4 W
</t>
  </si>
  <si>
    <t>1316</t>
  </si>
  <si>
    <t>1316.00</t>
  </si>
  <si>
    <t>19145</t>
  </si>
  <si>
    <t>64104</t>
  </si>
  <si>
    <t xml:space="preserve">
Height (mm)
1380
Width (mm)
634
Depth (mm)
44
Designer
Claudio Bellini
Guarantee
2 year
Lighting type
Faucet with LED Lighting
Lighting
Yes
Certificate
CE
Awards
Designer Kitchen and Bathroom, EDIDA Turkey, Good Design, IF Design
Brand
VitrA
Kelvin
3000K
LED IP
IP44
Energy Label
G
Led Switch
On/Off Rope
Assembly
Wall hung
Watt
4,5 W
</t>
  </si>
  <si>
    <t>1216</t>
  </si>
  <si>
    <t>1216.00</t>
  </si>
  <si>
    <t>21865</t>
  </si>
  <si>
    <t>Split Dual Flow Sink Mixer</t>
  </si>
  <si>
    <t>A42144EXP</t>
  </si>
  <si>
    <t>Kitchen brassware</t>
  </si>
  <si>
    <t>837</t>
  </si>
  <si>
    <t>837.00</t>
  </si>
  <si>
    <t>23471</t>
  </si>
  <si>
    <t>Maestro Pull Out Sink Mixer</t>
  </si>
  <si>
    <t>A42146EXP</t>
  </si>
  <si>
    <t>685</t>
  </si>
  <si>
    <t>685.00</t>
  </si>
  <si>
    <t>23697</t>
  </si>
  <si>
    <t>Verona Sink Mixer</t>
  </si>
  <si>
    <t>A4215406EXP</t>
  </si>
  <si>
    <t>Chrome-Satin</t>
  </si>
  <si>
    <t>515.00</t>
  </si>
  <si>
    <t>21446</t>
  </si>
  <si>
    <t>Maestro Pro Sink Mixer</t>
  </si>
  <si>
    <t>A42152EXP</t>
  </si>
  <si>
    <t>843</t>
  </si>
  <si>
    <t>843.00</t>
  </si>
  <si>
    <t>24147</t>
  </si>
  <si>
    <t>Minimax S Sink Mixer</t>
  </si>
  <si>
    <t>A4209134EXP</t>
  </si>
  <si>
    <t>545.00</t>
  </si>
  <si>
    <t>23281</t>
  </si>
  <si>
    <t>Minimax S Sink Mixer_Matte Black</t>
  </si>
  <si>
    <t>A4209136EXP</t>
  </si>
  <si>
    <t>653</t>
  </si>
  <si>
    <t>39</t>
  </si>
  <si>
    <t>653.00</t>
  </si>
  <si>
    <t>24125</t>
  </si>
  <si>
    <t>Root Square Sink Mixer</t>
  </si>
  <si>
    <t>A4275336EXP</t>
  </si>
  <si>
    <t>891</t>
  </si>
  <si>
    <t>891.00</t>
  </si>
  <si>
    <t>29127</t>
  </si>
  <si>
    <t>Root Round Sink Mixer</t>
  </si>
  <si>
    <t>A4274236EXP</t>
  </si>
  <si>
    <t>747</t>
  </si>
  <si>
    <t>747.00</t>
  </si>
  <si>
    <t>29125</t>
  </si>
  <si>
    <t>Sink Mixer</t>
  </si>
  <si>
    <t>A42753EXP</t>
  </si>
  <si>
    <t>518</t>
  </si>
  <si>
    <t>518.00</t>
  </si>
  <si>
    <t>23086</t>
  </si>
  <si>
    <t>A4275334EXP</t>
  </si>
  <si>
    <t>916</t>
  </si>
  <si>
    <t>916.00</t>
  </si>
  <si>
    <t>29102</t>
  </si>
  <si>
    <t>A42742EXP</t>
  </si>
  <si>
    <t>408</t>
  </si>
  <si>
    <t>408.00</t>
  </si>
  <si>
    <t>23741</t>
  </si>
  <si>
    <t>A4274234EXP</t>
  </si>
  <si>
    <t>720</t>
  </si>
  <si>
    <t>304</t>
  </si>
  <si>
    <t>720.00</t>
  </si>
  <si>
    <t>28914</t>
  </si>
  <si>
    <t>A42091EXP</t>
  </si>
  <si>
    <t>346</t>
  </si>
  <si>
    <t>87</t>
  </si>
  <si>
    <t>346.00</t>
  </si>
  <si>
    <t>22651</t>
  </si>
  <si>
    <t>1430</t>
  </si>
  <si>
    <t>A4288025</t>
  </si>
  <si>
    <t>Origin Basin Mix. Matte Black</t>
  </si>
  <si>
    <t>Origin Basin Mixer (Pop-up)</t>
  </si>
  <si>
    <t>10.46</t>
  </si>
  <si>
    <t>A42568</t>
  </si>
  <si>
    <t>Origin Blt-In Basin Mix. expo. M.Black</t>
  </si>
  <si>
    <t>1110</t>
  </si>
  <si>
    <t>A4258136WTC</t>
  </si>
  <si>
    <t>Suit Basin Mixer</t>
  </si>
  <si>
    <t>1012.32</t>
  </si>
  <si>
    <t>A4261639</t>
  </si>
  <si>
    <t>Root Round Basin Mixer M</t>
  </si>
  <si>
    <t>692.37</t>
  </si>
  <si>
    <t>A4270636EXP</t>
  </si>
  <si>
    <t>Root Round Basin Mixer XL</t>
  </si>
  <si>
    <t>756.81</t>
  </si>
  <si>
    <t>A4270736EXP</t>
  </si>
  <si>
    <t>Root Round Built-in Basin Mixer (Exposed</t>
  </si>
  <si>
    <t>641.31</t>
  </si>
  <si>
    <t>A4272136EXP</t>
  </si>
  <si>
    <t>Root Square Basin Mixer M</t>
  </si>
  <si>
    <t>729.41</t>
  </si>
  <si>
    <t>A4273136EXP</t>
  </si>
  <si>
    <t>1312.92</t>
  </si>
  <si>
    <t>A4276539</t>
  </si>
  <si>
    <t>Built-In Basin Mixer_Exposed Part_Suit</t>
  </si>
  <si>
    <t>959.17</t>
  </si>
  <si>
    <t>A4278239</t>
  </si>
  <si>
    <t>960.81</t>
  </si>
  <si>
    <t>A42784</t>
  </si>
  <si>
    <t>1250</t>
  </si>
  <si>
    <t>A4278439</t>
  </si>
  <si>
    <t>Touchless Bowl Bas.Mix._SWI_Mains_Root S</t>
  </si>
  <si>
    <t>2963.29</t>
  </si>
  <si>
    <t>A47130EXP</t>
  </si>
  <si>
    <t>Origin Lever Set-Basin</t>
  </si>
  <si>
    <t>594.4</t>
  </si>
  <si>
    <t>Root Square Basin Mixer XL</t>
  </si>
  <si>
    <t>920.8</t>
  </si>
  <si>
    <t>A4273336EXP</t>
  </si>
  <si>
    <t>Liquid Tall Basin Mixer for Bowls</t>
  </si>
  <si>
    <t>1711.96</t>
  </si>
  <si>
    <t>A42791</t>
  </si>
  <si>
    <t>2571.4</t>
  </si>
  <si>
    <t>A4279439</t>
  </si>
  <si>
    <t>2548.89</t>
  </si>
  <si>
    <t>A4279139</t>
  </si>
  <si>
    <t>Liquid Touchless Basin Mixer</t>
  </si>
  <si>
    <t>2648.34</t>
  </si>
  <si>
    <t>A42788</t>
  </si>
  <si>
    <t>Liquid Floor-Mounted Basin Mixer</t>
  </si>
  <si>
    <t>7597</t>
  </si>
  <si>
    <t>A4277539</t>
  </si>
  <si>
    <t>Liquid Basin Mixer</t>
  </si>
  <si>
    <t>1438.44</t>
  </si>
  <si>
    <t>A42749</t>
  </si>
  <si>
    <t>2144.52</t>
  </si>
  <si>
    <t>A4275539</t>
  </si>
  <si>
    <t>Liquid Built-In Basin Mixer</t>
  </si>
  <si>
    <t>1253.87</t>
  </si>
  <si>
    <t>A42689</t>
  </si>
  <si>
    <t>2167.19</t>
  </si>
  <si>
    <t>A4268939</t>
  </si>
  <si>
    <t>Built-in Basin Mxr-Exposed Part,Root S</t>
  </si>
  <si>
    <t>357.41</t>
  </si>
  <si>
    <t>A42738EXP</t>
  </si>
  <si>
    <t>Built-in Bth/Shwr Mxr-Exposd Part,Root S</t>
  </si>
  <si>
    <t>676.02</t>
  </si>
  <si>
    <t>A4273834EXP</t>
  </si>
  <si>
    <t>Basin Mixer(for bowls)</t>
  </si>
  <si>
    <t>902.76</t>
  </si>
  <si>
    <t>A4273334EXP</t>
  </si>
  <si>
    <t>Basin MixerLarge</t>
  </si>
  <si>
    <t>683.43</t>
  </si>
  <si>
    <t>A4273134EXP</t>
  </si>
  <si>
    <t>Basin Mixer with pop-up</t>
  </si>
  <si>
    <t>565.72</t>
  </si>
  <si>
    <t>A4272234EXP</t>
  </si>
  <si>
    <t>Built-in Basin Mixer-Exposed Part,Root R</t>
  </si>
  <si>
    <t>377.85</t>
  </si>
  <si>
    <t>A42721EXP</t>
  </si>
  <si>
    <t>619.44</t>
  </si>
  <si>
    <t>A4272134EXP</t>
  </si>
  <si>
    <t>Basin Mixer (for bowls)</t>
  </si>
  <si>
    <t>793.71</t>
  </si>
  <si>
    <t>A4270734EXP</t>
  </si>
  <si>
    <t>665.29</t>
  </si>
  <si>
    <t>A4270634EXP</t>
  </si>
  <si>
    <t>Root Round basin Mixer</t>
  </si>
  <si>
    <t>301.83</t>
  </si>
  <si>
    <t>A42705EXP</t>
  </si>
  <si>
    <t>Origin Blt-In Basin Mix. expo. B.Nickel</t>
  </si>
  <si>
    <t>826.2</t>
  </si>
  <si>
    <t>A4258134</t>
  </si>
  <si>
    <t>Origin Blt-In Basin Mix. expo.</t>
  </si>
  <si>
    <t>711.71</t>
  </si>
  <si>
    <t>A42581</t>
  </si>
  <si>
    <t>Origin Basin Mix.forBowls-Large</t>
  </si>
  <si>
    <t>956.72</t>
  </si>
  <si>
    <t>A42558</t>
  </si>
  <si>
    <t>Origin Basin Mix. for Bowls B.Nickel</t>
  </si>
  <si>
    <t>1150.55</t>
  </si>
  <si>
    <t>Origin Basin Mix. Brushed Nickel</t>
  </si>
  <si>
    <t>913.06</t>
  </si>
  <si>
    <t>Minimax S Basin Mixer for Bowls</t>
  </si>
  <si>
    <t>404.81</t>
  </si>
  <si>
    <t>A41992EXP</t>
  </si>
  <si>
    <t>Minimax S Basin Mixer w/Pop-up</t>
  </si>
  <si>
    <t>318.05</t>
  </si>
  <si>
    <t>A41986EXP</t>
  </si>
  <si>
    <t>Minimax S Basin Mixer</t>
  </si>
  <si>
    <t>267.11</t>
  </si>
  <si>
    <t>A41984EXP</t>
  </si>
  <si>
    <t>1430.00</t>
  </si>
  <si>
    <t>40152</t>
  </si>
  <si>
    <t>1280.00</t>
  </si>
  <si>
    <t>40148</t>
  </si>
  <si>
    <t>10.00</t>
  </si>
  <si>
    <t>23048</t>
  </si>
  <si>
    <t>1110.00</t>
  </si>
  <si>
    <t>40142</t>
  </si>
  <si>
    <t>29459</t>
  </si>
  <si>
    <t>29207</t>
  </si>
  <si>
    <t>757</t>
  </si>
  <si>
    <t>757.00</t>
  </si>
  <si>
    <t>29316</t>
  </si>
  <si>
    <t>641</t>
  </si>
  <si>
    <t>641.00</t>
  </si>
  <si>
    <t>29095</t>
  </si>
  <si>
    <t>729</t>
  </si>
  <si>
    <t>729.00</t>
  </si>
  <si>
    <t>29088</t>
  </si>
  <si>
    <t>1313</t>
  </si>
  <si>
    <t>1313.00</t>
  </si>
  <si>
    <t>29144</t>
  </si>
  <si>
    <t>959</t>
  </si>
  <si>
    <t>959.00</t>
  </si>
  <si>
    <t>29145</t>
  </si>
  <si>
    <t>961</t>
  </si>
  <si>
    <t>961.00</t>
  </si>
  <si>
    <t>22963</t>
  </si>
  <si>
    <t>1250.00</t>
  </si>
  <si>
    <t>28836</t>
  </si>
  <si>
    <t>715</t>
  </si>
  <si>
    <t>24712</t>
  </si>
  <si>
    <t>2963</t>
  </si>
  <si>
    <t>2963.00</t>
  </si>
  <si>
    <t>29100</t>
  </si>
  <si>
    <t>594</t>
  </si>
  <si>
    <t>594.00</t>
  </si>
  <si>
    <t>921</t>
  </si>
  <si>
    <t>921.00</t>
  </si>
  <si>
    <t>22857</t>
  </si>
  <si>
    <t>1712</t>
  </si>
  <si>
    <t>1712.00</t>
  </si>
  <si>
    <t>23767</t>
  </si>
  <si>
    <t>2571</t>
  </si>
  <si>
    <t>2571.00</t>
  </si>
  <si>
    <t>29451</t>
  </si>
  <si>
    <t>2549</t>
  </si>
  <si>
    <t>2549.00</t>
  </si>
  <si>
    <t>29132</t>
  </si>
  <si>
    <t>2648</t>
  </si>
  <si>
    <t>2648.00</t>
  </si>
  <si>
    <t>29131</t>
  </si>
  <si>
    <t>7597.00</t>
  </si>
  <si>
    <t>40150</t>
  </si>
  <si>
    <t>1438</t>
  </si>
  <si>
    <t>1438.00</t>
  </si>
  <si>
    <t>24126</t>
  </si>
  <si>
    <t>2145</t>
  </si>
  <si>
    <t>2145.00</t>
  </si>
  <si>
    <t>29128</t>
  </si>
  <si>
    <t>1254</t>
  </si>
  <si>
    <t>1254.00</t>
  </si>
  <si>
    <t>21517</t>
  </si>
  <si>
    <t>2167</t>
  </si>
  <si>
    <t>2167.00</t>
  </si>
  <si>
    <t>29149</t>
  </si>
  <si>
    <t>357</t>
  </si>
  <si>
    <t>357.00</t>
  </si>
  <si>
    <t>23479</t>
  </si>
  <si>
    <t>676</t>
  </si>
  <si>
    <t>676.00</t>
  </si>
  <si>
    <t>24146</t>
  </si>
  <si>
    <t>903</t>
  </si>
  <si>
    <t>903.00</t>
  </si>
  <si>
    <t>23665</t>
  </si>
  <si>
    <t>683</t>
  </si>
  <si>
    <t>683.00</t>
  </si>
  <si>
    <t>24688</t>
  </si>
  <si>
    <t>566</t>
  </si>
  <si>
    <t>566.00</t>
  </si>
  <si>
    <t>20919</t>
  </si>
  <si>
    <t>378</t>
  </si>
  <si>
    <t>74</t>
  </si>
  <si>
    <t>378.00</t>
  </si>
  <si>
    <t>23528</t>
  </si>
  <si>
    <t>619</t>
  </si>
  <si>
    <t>619.00</t>
  </si>
  <si>
    <t>28917</t>
  </si>
  <si>
    <t>794</t>
  </si>
  <si>
    <t>794.00</t>
  </si>
  <si>
    <t>24277</t>
  </si>
  <si>
    <t>53</t>
  </si>
  <si>
    <t>665.00</t>
  </si>
  <si>
    <t>24256</t>
  </si>
  <si>
    <t>302</t>
  </si>
  <si>
    <t>302.00</t>
  </si>
  <si>
    <t>23071</t>
  </si>
  <si>
    <t>912</t>
  </si>
  <si>
    <t>912.00</t>
  </si>
  <si>
    <t>23344</t>
  </si>
  <si>
    <t>826</t>
  </si>
  <si>
    <t>44</t>
  </si>
  <si>
    <t>826.00</t>
  </si>
  <si>
    <t>22100</t>
  </si>
  <si>
    <t>29090</t>
  </si>
  <si>
    <t>957</t>
  </si>
  <si>
    <t>957.00</t>
  </si>
  <si>
    <t>23044</t>
  </si>
  <si>
    <t>1151</t>
  </si>
  <si>
    <t>64</t>
  </si>
  <si>
    <t>1151.00</t>
  </si>
  <si>
    <t>23207</t>
  </si>
  <si>
    <t>764</t>
  </si>
  <si>
    <t>55</t>
  </si>
  <si>
    <t>764.00</t>
  </si>
  <si>
    <t>23210</t>
  </si>
  <si>
    <t>913</t>
  </si>
  <si>
    <t>913.00</t>
  </si>
  <si>
    <t>24148</t>
  </si>
  <si>
    <t>532</t>
  </si>
  <si>
    <t>532.00</t>
  </si>
  <si>
    <t>23234</t>
  </si>
  <si>
    <t>405</t>
  </si>
  <si>
    <t>405.00</t>
  </si>
  <si>
    <t>23302</t>
  </si>
  <si>
    <t>318</t>
  </si>
  <si>
    <t>1099</t>
  </si>
  <si>
    <t>318.00</t>
  </si>
  <si>
    <t>19990</t>
  </si>
  <si>
    <t>20018</t>
  </si>
  <si>
    <t>Memoria Black &amp; White Upper Unit, 20 Cm, Matte Black</t>
  </si>
  <si>
    <t>58276</t>
  </si>
  <si>
    <t>Bathroom unit</t>
  </si>
  <si>
    <t>1758</t>
  </si>
  <si>
    <t>1758.00</t>
  </si>
  <si>
    <t>17106</t>
  </si>
  <si>
    <t>Memoria Black &amp; White Upper Unit, 20 Cm, Matte White</t>
  </si>
  <si>
    <t>61006</t>
  </si>
  <si>
    <t>1774</t>
  </si>
  <si>
    <t>1774.00</t>
  </si>
  <si>
    <t>18765</t>
  </si>
  <si>
    <t>Mia set. 60cm. with drawer. Cordoba</t>
  </si>
  <si>
    <t>75103</t>
  </si>
  <si>
    <t>Additional storage options</t>
  </si>
  <si>
    <t>972.00</t>
  </si>
  <si>
    <t>23365</t>
  </si>
  <si>
    <t>Dream 190*90-Gold Leg</t>
  </si>
  <si>
    <t>51970050000</t>
  </si>
  <si>
    <t>Bathtubs</t>
  </si>
  <si>
    <t>7576</t>
  </si>
  <si>
    <t>7576.00</t>
  </si>
  <si>
    <t>23532</t>
  </si>
  <si>
    <t>Shift Wall-Hung Bidet, 54 Cm</t>
  </si>
  <si>
    <t>4394B003-1458</t>
  </si>
  <si>
    <t>Bidets</t>
  </si>
  <si>
    <t>Bathroom Sanitary ware 1</t>
  </si>
  <si>
    <t>888</t>
  </si>
  <si>
    <t>119</t>
  </si>
  <si>
    <t>888.00</t>
  </si>
  <si>
    <t>23510</t>
  </si>
  <si>
    <t>Ilia Built In Shower Mixer Expo.Part</t>
  </si>
  <si>
    <t>A40585EXP</t>
  </si>
  <si>
    <t>Bath-shower-mixers</t>
  </si>
  <si>
    <t>21289</t>
  </si>
  <si>
    <t>Q-Line Built In Bath Mixer Parts</t>
  </si>
  <si>
    <t>A40599EXP</t>
  </si>
  <si>
    <t>344</t>
  </si>
  <si>
    <t>344.00</t>
  </si>
  <si>
    <t>21293</t>
  </si>
  <si>
    <t>Q-Line Bath/Shower Mixer</t>
  </si>
  <si>
    <t>A40778EXP</t>
  </si>
  <si>
    <t>Tap-Mixers</t>
  </si>
  <si>
    <t>Bathroom Sanitary Ware</t>
  </si>
  <si>
    <t>Height: 100 mm Depth : 164 mm</t>
  </si>
  <si>
    <t>511</t>
  </si>
  <si>
    <t>511.00</t>
  </si>
  <si>
    <t>A40793EXP</t>
  </si>
  <si>
    <t>182</t>
  </si>
  <si>
    <t>182.00</t>
  </si>
  <si>
    <t>21324</t>
  </si>
  <si>
    <t>Juno Blt in Bath/ Shw Mixer (Exposed Part) Copper</t>
  </si>
  <si>
    <t>A4083126</t>
  </si>
  <si>
    <t>21331</t>
  </si>
  <si>
    <t>Juno Built-In Bath/Shower Mixer - Gold</t>
  </si>
  <si>
    <t>A4083223EXP</t>
  </si>
  <si>
    <t>832</t>
  </si>
  <si>
    <t>832.00</t>
  </si>
  <si>
    <t>22892</t>
  </si>
  <si>
    <t>Juno Built-In Bath/Shower Mixer</t>
  </si>
  <si>
    <t>A40832EXP</t>
  </si>
  <si>
    <t>Bath/Shower-Mixers</t>
  </si>
  <si>
    <t>Height: 210 mm Width : 360 mm Depth : 150 mm</t>
  </si>
  <si>
    <t>681</t>
  </si>
  <si>
    <t>681.00</t>
  </si>
  <si>
    <t>A40834</t>
  </si>
  <si>
    <t>Complementary products</t>
  </si>
  <si>
    <t>Height: 354 mm Width : 197 mm Depth : 139 mm</t>
  </si>
  <si>
    <t>264</t>
  </si>
  <si>
    <t>264.00</t>
  </si>
  <si>
    <t>Juno Bath/Shower Mixer</t>
  </si>
  <si>
    <t>A4086823EXP</t>
  </si>
  <si>
    <t>842</t>
  </si>
  <si>
    <t>842.00</t>
  </si>
  <si>
    <t>22901</t>
  </si>
  <si>
    <t>A4086826EXP</t>
  </si>
  <si>
    <t>797</t>
  </si>
  <si>
    <t>797.00</t>
  </si>
  <si>
    <t>22902</t>
  </si>
  <si>
    <t>A40868EXP</t>
  </si>
  <si>
    <t>Height: 100 mm Width : 210 mm Depth : 195 mm</t>
  </si>
  <si>
    <t>Juno Bidet Mixer</t>
  </si>
  <si>
    <t>A40878EXP</t>
  </si>
  <si>
    <t>Bidet-Mixers</t>
  </si>
  <si>
    <t>Height: 90 mm Spout height :100 mm</t>
  </si>
  <si>
    <t>629</t>
  </si>
  <si>
    <t>629.00</t>
  </si>
  <si>
    <t>Juno Bath mixer (for 4-hole bathtubs, deck mounted) Copper</t>
  </si>
  <si>
    <t>A4093526EXP</t>
  </si>
  <si>
    <t>1688</t>
  </si>
  <si>
    <t>1688.00</t>
  </si>
  <si>
    <t>22907</t>
  </si>
  <si>
    <t>Juno Bath Mixer</t>
  </si>
  <si>
    <t>A40935EXP</t>
  </si>
  <si>
    <t>Height: 200 mm Spout height :100 mm</t>
  </si>
  <si>
    <t>1187</t>
  </si>
  <si>
    <t>1187.00</t>
  </si>
  <si>
    <t>Suit L Bath Mixer</t>
  </si>
  <si>
    <t>A4128723EXP</t>
  </si>
  <si>
    <t>3065</t>
  </si>
  <si>
    <t>3065.00</t>
  </si>
  <si>
    <t>23250</t>
  </si>
  <si>
    <t>A41287EXP</t>
  </si>
  <si>
    <t>Height: 932 mm Width : 162 mm Depth : 130 mm</t>
  </si>
  <si>
    <t>2525</t>
  </si>
  <si>
    <t>2525.00</t>
  </si>
  <si>
    <t>X-Line Bath/Shower Mixer</t>
  </si>
  <si>
    <t>A4128823EXP</t>
  </si>
  <si>
    <t>Height: 914 mm Width : 161 mm Depth : 130 mm</t>
  </si>
  <si>
    <t>2891</t>
  </si>
  <si>
    <t>2891.00</t>
  </si>
  <si>
    <t>A41288EXP</t>
  </si>
  <si>
    <t>2309</t>
  </si>
  <si>
    <t>2309.00</t>
  </si>
  <si>
    <t>23402</t>
  </si>
  <si>
    <t>Ilia Shower Mixer</t>
  </si>
  <si>
    <t>A41705EXP</t>
  </si>
  <si>
    <t>21390</t>
  </si>
  <si>
    <t>Istanbul Basin Mixer</t>
  </si>
  <si>
    <t>A41800EXP</t>
  </si>
  <si>
    <t>Height: 148 mm Width : 125 mm Depth : 55 mm</t>
  </si>
  <si>
    <t>1667</t>
  </si>
  <si>
    <t>1667.00</t>
  </si>
  <si>
    <t>Istanbul Bath/Shower Mixer</t>
  </si>
  <si>
    <t>A4180223EXP</t>
  </si>
  <si>
    <t>3512</t>
  </si>
  <si>
    <t>3512.00</t>
  </si>
  <si>
    <t>22918</t>
  </si>
  <si>
    <t>A41802EXP</t>
  </si>
  <si>
    <t>Height: 250 mm Width : 230 mm Depth : 260 mm</t>
  </si>
  <si>
    <t>2050.00</t>
  </si>
  <si>
    <t>Istanbul Built-In Shower Mixer</t>
  </si>
  <si>
    <t>A41803EXP</t>
  </si>
  <si>
    <t>Height: 120 mm Width : 100 mm Depth : 45 mm</t>
  </si>
  <si>
    <t>1492</t>
  </si>
  <si>
    <t>1492.00</t>
  </si>
  <si>
    <t>Istanbul Built-In Bath/Shower Mixer</t>
  </si>
  <si>
    <t>A41809EXP</t>
  </si>
  <si>
    <t>2506</t>
  </si>
  <si>
    <t>2506.00</t>
  </si>
  <si>
    <t>22632</t>
  </si>
  <si>
    <t>Istanbul Joystick Bath/Shower Mixer</t>
  </si>
  <si>
    <t>A4181923EXP</t>
  </si>
  <si>
    <t>Height: 900 mm Width : 180 mm Depth : 300 mm</t>
  </si>
  <si>
    <t>5572</t>
  </si>
  <si>
    <t>5572.00</t>
  </si>
  <si>
    <t>Flo S Bath/Shower Mixer</t>
  </si>
  <si>
    <t>A4193723EXP</t>
  </si>
  <si>
    <t>551</t>
  </si>
  <si>
    <t>43</t>
  </si>
  <si>
    <t>551.00</t>
  </si>
  <si>
    <t>22927</t>
  </si>
  <si>
    <t>A41937EXP</t>
  </si>
  <si>
    <t>Height: 73 mm Width : 180 mm Depth : 165 mm</t>
  </si>
  <si>
    <t>459</t>
  </si>
  <si>
    <t>155</t>
  </si>
  <si>
    <t>459.00</t>
  </si>
  <si>
    <t>Flo S Shower Mixer</t>
  </si>
  <si>
    <t>A41938EXP</t>
  </si>
  <si>
    <t>431</t>
  </si>
  <si>
    <t>431.00</t>
  </si>
  <si>
    <t>24100</t>
  </si>
  <si>
    <t>Diagon Shower Mixer</t>
  </si>
  <si>
    <t>A41951EXP</t>
  </si>
  <si>
    <t>960</t>
  </si>
  <si>
    <t>960.00</t>
  </si>
  <si>
    <t>21428</t>
  </si>
  <si>
    <t>Flo S Built-In Bath/Shower Mixer</t>
  </si>
  <si>
    <t>A4221223EXP</t>
  </si>
  <si>
    <t>271</t>
  </si>
  <si>
    <t>271.00</t>
  </si>
  <si>
    <t>19974</t>
  </si>
  <si>
    <t>Q-Line Built-In Shower Mixer</t>
  </si>
  <si>
    <t>A42222EXP</t>
  </si>
  <si>
    <t>185.00</t>
  </si>
  <si>
    <t>21453</t>
  </si>
  <si>
    <t>Flo S Built-In Shower Mixer</t>
  </si>
  <si>
    <t>A4222623EXP</t>
  </si>
  <si>
    <t>214</t>
  </si>
  <si>
    <t>214.00</t>
  </si>
  <si>
    <t>21454</t>
  </si>
  <si>
    <t>A42226EXP</t>
  </si>
  <si>
    <t>Height: 148 mm Width :120 mm Depth : 80 mm</t>
  </si>
  <si>
    <t>219</t>
  </si>
  <si>
    <t>219.00</t>
  </si>
  <si>
    <t>X-Line Built-In Bath/Shower Mixer</t>
  </si>
  <si>
    <t>A4225123EXP</t>
  </si>
  <si>
    <t>241</t>
  </si>
  <si>
    <t>241.00</t>
  </si>
  <si>
    <t>23407</t>
  </si>
  <si>
    <t>X-Line Built-In Shower Mixer</t>
  </si>
  <si>
    <t>A4225223EXP</t>
  </si>
  <si>
    <t>Height: 158 mm Width : 120 mm Depth : 84 mm</t>
  </si>
  <si>
    <t>201</t>
  </si>
  <si>
    <t>201.00</t>
  </si>
  <si>
    <t>A42252EXP</t>
  </si>
  <si>
    <t>171</t>
  </si>
  <si>
    <t>101</t>
  </si>
  <si>
    <t>171.00</t>
  </si>
  <si>
    <t>23408</t>
  </si>
  <si>
    <t>Q-Line Bath Spout</t>
  </si>
  <si>
    <t>A42254EXP</t>
  </si>
  <si>
    <t>Height: 98 mm Width : 98 mm Depth : 185 mm</t>
  </si>
  <si>
    <t>212</t>
  </si>
  <si>
    <t>212.00</t>
  </si>
  <si>
    <t>Suit U Built-In Bath/Shower Mixer</t>
  </si>
  <si>
    <t>A4228623EXP</t>
  </si>
  <si>
    <t>365.00</t>
  </si>
  <si>
    <t>23223</t>
  </si>
  <si>
    <t>Suit U Built-in bath/shower mixer (exposed part) Copper</t>
  </si>
  <si>
    <t>A4228626EXP</t>
  </si>
  <si>
    <t>350.00</t>
  </si>
  <si>
    <t>22965</t>
  </si>
  <si>
    <t>A42286EXP</t>
  </si>
  <si>
    <t>Height: 195 mm Width : 120 mm Depth : 78 mm</t>
  </si>
  <si>
    <t>291</t>
  </si>
  <si>
    <t>291.00</t>
  </si>
  <si>
    <t>Suit U Built-In Shower Mixer</t>
  </si>
  <si>
    <t>A42287EXP</t>
  </si>
  <si>
    <t>Height: 138 mm Width : 120 mm Depth : 79 mm</t>
  </si>
  <si>
    <t>278</t>
  </si>
  <si>
    <t>277.74</t>
  </si>
  <si>
    <t>Memoria Built-In Basin Mixer</t>
  </si>
  <si>
    <t>A42345EXP</t>
  </si>
  <si>
    <t>Height: 90 mm Width : 200 mm Depth : 198 mm</t>
  </si>
  <si>
    <t>1092</t>
  </si>
  <si>
    <t>1092.42</t>
  </si>
  <si>
    <t>Suit U Bath/Shower Mixer Gold</t>
  </si>
  <si>
    <t>A4248823EXP</t>
  </si>
  <si>
    <t>1058</t>
  </si>
  <si>
    <t>1058.00</t>
  </si>
  <si>
    <t>24550</t>
  </si>
  <si>
    <t>Suit U Bath/Shower Mixer - Copper</t>
  </si>
  <si>
    <t>A4248826EXP</t>
  </si>
  <si>
    <t>1013</t>
  </si>
  <si>
    <t>1013.00</t>
  </si>
  <si>
    <t>23015</t>
  </si>
  <si>
    <t>Suit L Bath Spout</t>
  </si>
  <si>
    <t>A4248923EXP</t>
  </si>
  <si>
    <t>138</t>
  </si>
  <si>
    <t>385.00</t>
  </si>
  <si>
    <t>23017</t>
  </si>
  <si>
    <t>A42489EXP</t>
  </si>
  <si>
    <t>Height: 98 mm Depth : 170 mm</t>
  </si>
  <si>
    <t>343</t>
  </si>
  <si>
    <t>343.00</t>
  </si>
  <si>
    <t>Suit U Bath Spout</t>
  </si>
  <si>
    <t>A42490EXP</t>
  </si>
  <si>
    <t>Height: 98 mm Depth : 150 mm</t>
  </si>
  <si>
    <t>X-Line Bath Mixer</t>
  </si>
  <si>
    <t>A4253023EXP</t>
  </si>
  <si>
    <t>Height: 220 mm Width : 450 mm Depth : 223 mm</t>
  </si>
  <si>
    <t>1874</t>
  </si>
  <si>
    <t>1874.00</t>
  </si>
  <si>
    <t>Q-Line Bath Mixer Deck Mounted 4Hole</t>
  </si>
  <si>
    <t>A42531EXP</t>
  </si>
  <si>
    <t>1582</t>
  </si>
  <si>
    <t>1582.00</t>
  </si>
  <si>
    <t>24489</t>
  </si>
  <si>
    <t>Fold S Built-In Bath/Shower Mixer</t>
  </si>
  <si>
    <t>A42536EXP</t>
  </si>
  <si>
    <t>23226</t>
  </si>
  <si>
    <t>Fold S Shower Mixer</t>
  </si>
  <si>
    <t>A42544EXP</t>
  </si>
  <si>
    <t>258</t>
  </si>
  <si>
    <t>258.00</t>
  </si>
  <si>
    <t>23041</t>
  </si>
  <si>
    <t>Origin Built-in Bath/Shower Mixer (exposed part)</t>
  </si>
  <si>
    <t>A4262136</t>
  </si>
  <si>
    <t>513</t>
  </si>
  <si>
    <t>513.00</t>
  </si>
  <si>
    <t>23331</t>
  </si>
  <si>
    <t>Origin Bath Spout Polished Copper</t>
  </si>
  <si>
    <t>A4262226</t>
  </si>
  <si>
    <t>326</t>
  </si>
  <si>
    <t>326.00</t>
  </si>
  <si>
    <t>23347</t>
  </si>
  <si>
    <t>Root Square built-in thermostatic bath mixer, (V-Box exposed part) Brushed Nickel</t>
  </si>
  <si>
    <t>A4266834EXP</t>
  </si>
  <si>
    <t>1769</t>
  </si>
  <si>
    <t>1769.00</t>
  </si>
  <si>
    <t>28910</t>
  </si>
  <si>
    <t>Origin Bath mixer from floor, (floor mounted), Copper</t>
  </si>
  <si>
    <t>A4268126</t>
  </si>
  <si>
    <t>3336</t>
  </si>
  <si>
    <t>3336.00</t>
  </si>
  <si>
    <t>23067</t>
  </si>
  <si>
    <t>Counter Mounted Built-in Shower Mixer Matt Black</t>
  </si>
  <si>
    <t>808</t>
  </si>
  <si>
    <t>79</t>
  </si>
  <si>
    <t>808.00</t>
  </si>
  <si>
    <t>Root Round Bath Spout with Handshower Outlet Spout Length: 175 mm Copper</t>
  </si>
  <si>
    <t>A4271926EXP</t>
  </si>
  <si>
    <t>23072</t>
  </si>
  <si>
    <t>Root Round Bath Spout with Handshower Outlet Spout Length: 175 mm Brushed Nickel</t>
  </si>
  <si>
    <t>A4271934EXP</t>
  </si>
  <si>
    <t>632.00</t>
  </si>
  <si>
    <t>29156</t>
  </si>
  <si>
    <t>Root Round Bath Spout with Handshower Outlet Spout Length: 175 mm Matt Black</t>
  </si>
  <si>
    <t>A4271936EXP</t>
  </si>
  <si>
    <t>670.00</t>
  </si>
  <si>
    <t>29080</t>
  </si>
  <si>
    <t>Root Round Bath Spout with Handshower Outlet Spout Length: 175 mm</t>
  </si>
  <si>
    <t>A42719EXP</t>
  </si>
  <si>
    <t>Height: 80 mm Depth : 195 mm</t>
  </si>
  <si>
    <t>338</t>
  </si>
  <si>
    <t>338.00</t>
  </si>
  <si>
    <t>Brushed nickel</t>
  </si>
  <si>
    <t>Root Round Spout</t>
  </si>
  <si>
    <t>A4272023EXP</t>
  </si>
  <si>
    <t>371</t>
  </si>
  <si>
    <t>371.00</t>
  </si>
  <si>
    <t>29117</t>
  </si>
  <si>
    <t>Root Round Spout - Copper</t>
  </si>
  <si>
    <t>A4272026EXP</t>
  </si>
  <si>
    <t>29118</t>
  </si>
  <si>
    <t>Root Round Spout - Brushed Nickel</t>
  </si>
  <si>
    <t>A4272034EXP</t>
  </si>
  <si>
    <t>390</t>
  </si>
  <si>
    <t>390.00</t>
  </si>
  <si>
    <t>24131</t>
  </si>
  <si>
    <t>Root Round Spout - Matt Black</t>
  </si>
  <si>
    <t>A4272036EXP</t>
  </si>
  <si>
    <t>29119</t>
  </si>
  <si>
    <t>A42720EXP</t>
  </si>
  <si>
    <t>23217</t>
  </si>
  <si>
    <t>Root Round Bath Mixer - Copper</t>
  </si>
  <si>
    <t>A4272526EXP</t>
  </si>
  <si>
    <t>802</t>
  </si>
  <si>
    <t>802.00</t>
  </si>
  <si>
    <t>22643</t>
  </si>
  <si>
    <t>Root Round Shower mixer - Gold</t>
  </si>
  <si>
    <t>A4272623EXP</t>
  </si>
  <si>
    <t>705</t>
  </si>
  <si>
    <t>705.00</t>
  </si>
  <si>
    <t>28918</t>
  </si>
  <si>
    <t>Root Round Shower mixer - Copper</t>
  </si>
  <si>
    <t>A4272626EXP</t>
  </si>
  <si>
    <t>738</t>
  </si>
  <si>
    <t>738.00</t>
  </si>
  <si>
    <t>28911</t>
  </si>
  <si>
    <t>Root Round Built-in Bath Mixer, (Exposed part), Gold</t>
  </si>
  <si>
    <t>A4272723EXP</t>
  </si>
  <si>
    <t>256</t>
  </si>
  <si>
    <t>256.00</t>
  </si>
  <si>
    <t>22755</t>
  </si>
  <si>
    <t>Root Round Built-in Bath Mixer, (Exposed part), Copper</t>
  </si>
  <si>
    <t>A4272726EXP</t>
  </si>
  <si>
    <t>306</t>
  </si>
  <si>
    <t>306.00</t>
  </si>
  <si>
    <t>23354</t>
  </si>
  <si>
    <t>Root Round Built-in Shower Mixer , (exposed part), Gold</t>
  </si>
  <si>
    <t>A4272823EXP</t>
  </si>
  <si>
    <t>23214</t>
  </si>
  <si>
    <t>Root Round Built-in Shower Mixer , (exposed part), Copper</t>
  </si>
  <si>
    <t>A4272826EXP</t>
  </si>
  <si>
    <t>275</t>
  </si>
  <si>
    <t>275.00</t>
  </si>
  <si>
    <t>23213</t>
  </si>
  <si>
    <t>Root Square Spout - Gold</t>
  </si>
  <si>
    <t>A4273923EXP</t>
  </si>
  <si>
    <t>392</t>
  </si>
  <si>
    <t>392.00</t>
  </si>
  <si>
    <t>28913</t>
  </si>
  <si>
    <t>A4273926EXP</t>
  </si>
  <si>
    <t>397</t>
  </si>
  <si>
    <t>397.00</t>
  </si>
  <si>
    <t>24107</t>
  </si>
  <si>
    <t>Root Square Spout - Burshed Nickel</t>
  </si>
  <si>
    <t>A4273934EXP</t>
  </si>
  <si>
    <t>413</t>
  </si>
  <si>
    <t>413.00</t>
  </si>
  <si>
    <t>23473</t>
  </si>
  <si>
    <t>Root Square Spout - Matt Black</t>
  </si>
  <si>
    <t>A4273936EXP</t>
  </si>
  <si>
    <t>425</t>
  </si>
  <si>
    <t>425.00</t>
  </si>
  <si>
    <t>19161</t>
  </si>
  <si>
    <t>Root Square Spout - Chrome</t>
  </si>
  <si>
    <t>A42739EXP</t>
  </si>
  <si>
    <t>336</t>
  </si>
  <si>
    <t>336.00</t>
  </si>
  <si>
    <t>23224</t>
  </si>
  <si>
    <t>Root Square Bath spout with Handshower Outlet Gold</t>
  </si>
  <si>
    <t>A4274023EXP</t>
  </si>
  <si>
    <t>409</t>
  </si>
  <si>
    <t>409.00</t>
  </si>
  <si>
    <t>23259</t>
  </si>
  <si>
    <t>Root Square Bath spout with Handshower Outlet Copper</t>
  </si>
  <si>
    <t>A4274026EXP</t>
  </si>
  <si>
    <t>24657</t>
  </si>
  <si>
    <t>Root Square Bath spout with Handshower Outlet</t>
  </si>
  <si>
    <t>A42740EXP</t>
  </si>
  <si>
    <t>337</t>
  </si>
  <si>
    <t>337.00</t>
  </si>
  <si>
    <t>23228</t>
  </si>
  <si>
    <t>Root Round Bath Mixer from Floor - with Handshower Copper</t>
  </si>
  <si>
    <t>A4274126EXP</t>
  </si>
  <si>
    <t>2772</t>
  </si>
  <si>
    <t>2772.00</t>
  </si>
  <si>
    <t>23353</t>
  </si>
  <si>
    <t>Root Square Built-in Shower Mixer , (exposed part), Copper</t>
  </si>
  <si>
    <t>A4275126</t>
  </si>
  <si>
    <t>36</t>
  </si>
  <si>
    <t>23275</t>
  </si>
  <si>
    <t>Root Square Built-in Bath Mixer, (Exposed part) - Gold</t>
  </si>
  <si>
    <t>A4275223EXP</t>
  </si>
  <si>
    <t>339</t>
  </si>
  <si>
    <t>339.00</t>
  </si>
  <si>
    <t>23258</t>
  </si>
  <si>
    <t>Root Square Built-in Bath Mixer, (Exposed part) - Copper</t>
  </si>
  <si>
    <t>A4275226EXP</t>
  </si>
  <si>
    <t>355</t>
  </si>
  <si>
    <t>355.00</t>
  </si>
  <si>
    <t>23273</t>
  </si>
  <si>
    <t>Root Square Bath Mixer, (from floor - with handshower) - Gold</t>
  </si>
  <si>
    <t>A4276023EXP</t>
  </si>
  <si>
    <t>3188</t>
  </si>
  <si>
    <t>3188.00</t>
  </si>
  <si>
    <t>23088</t>
  </si>
  <si>
    <t>Root Square Bath Mixer, (from floor - with handshower) - Copper</t>
  </si>
  <si>
    <t>A4276026EXP</t>
  </si>
  <si>
    <t>4112</t>
  </si>
  <si>
    <t>4112.00</t>
  </si>
  <si>
    <t>29081</t>
  </si>
  <si>
    <t>Root Square Shower mixer - Copper</t>
  </si>
  <si>
    <t>A4276126EXP</t>
  </si>
  <si>
    <t>829</t>
  </si>
  <si>
    <t>829.00</t>
  </si>
  <si>
    <t>28915</t>
  </si>
  <si>
    <t>Arkitekta Trash Box 5 L Soft Close</t>
  </si>
  <si>
    <t>A44124EXP</t>
  </si>
  <si>
    <t>Bathroom accessories</t>
  </si>
  <si>
    <t>Height: 275 mm Width : 195 mm Depth : 235 mm</t>
  </si>
  <si>
    <t>187</t>
  </si>
  <si>
    <t>187.00</t>
  </si>
  <si>
    <t>Arkitekta Trashbox Corner</t>
  </si>
  <si>
    <t>A44359EXP</t>
  </si>
  <si>
    <t>Height: 380 mm Width : 340 mm Depth : 240 mm</t>
  </si>
  <si>
    <t>96.00</t>
  </si>
  <si>
    <t>Juno Classic Bathrobe Holder - Double-Gold</t>
  </si>
  <si>
    <t>A4442323</t>
  </si>
  <si>
    <t>Bathrobe-hooks</t>
  </si>
  <si>
    <t>175</t>
  </si>
  <si>
    <t>175.00</t>
  </si>
  <si>
    <t>24592</t>
  </si>
  <si>
    <t>Juno Classic Bathrobe Holder - Double-Copper</t>
  </si>
  <si>
    <t>A4442326</t>
  </si>
  <si>
    <t>172</t>
  </si>
  <si>
    <t>172.00</t>
  </si>
  <si>
    <t>24635</t>
  </si>
  <si>
    <t>Origin Bathrobe holder Single Copper</t>
  </si>
  <si>
    <t>A4488426</t>
  </si>
  <si>
    <t>Width : 58 mm Depth : 64 mm</t>
  </si>
  <si>
    <t>Istanbul Bathrobe Holder - Single</t>
  </si>
  <si>
    <t>A4800323</t>
  </si>
  <si>
    <t>23783</t>
  </si>
  <si>
    <t>Istanbul Bathrobe Holder - Multiple</t>
  </si>
  <si>
    <t>A4801223</t>
  </si>
  <si>
    <t>853</t>
  </si>
  <si>
    <t>853.00</t>
  </si>
  <si>
    <t>23789</t>
  </si>
  <si>
    <t>Bauci Freestanding Bathtub 170x80 With Siphon - Matt White</t>
  </si>
  <si>
    <t>BAUCI-MWHITE-170x80</t>
  </si>
  <si>
    <t>Buthtubs</t>
  </si>
  <si>
    <t>Bathing-areas</t>
  </si>
  <si>
    <t>7098</t>
  </si>
  <si>
    <t>7098.00</t>
  </si>
  <si>
    <t>22677</t>
  </si>
  <si>
    <t>Bauci Freestanding Bathtub 170x80 With Siphon - White</t>
  </si>
  <si>
    <t>BAUCI-WHITE-170x80</t>
  </si>
  <si>
    <t>6592</t>
  </si>
  <si>
    <t>6592.00</t>
  </si>
  <si>
    <t>24065</t>
  </si>
  <si>
    <t>Milano Freestanding Bathtub 180x80x60 Both Inside and Outside Mat Grey</t>
  </si>
  <si>
    <t>MILANO-MGREY-180x80</t>
  </si>
  <si>
    <t>8784</t>
  </si>
  <si>
    <t>8784.00</t>
  </si>
  <si>
    <t>29295</t>
  </si>
  <si>
    <t>Milano Freestanding Bathtub 180x80x60 Inside White Outside Mat Black</t>
  </si>
  <si>
    <t>MILANO-WHITEMBLACK-180x80</t>
  </si>
  <si>
    <t>29293</t>
  </si>
  <si>
    <t>Tecla Freestanding Bathtub 170x74 With Siphon - Matt White</t>
  </si>
  <si>
    <t>TECLA-MWHITE-170x74</t>
  </si>
  <si>
    <t>7710</t>
  </si>
  <si>
    <t>7710.00</t>
  </si>
  <si>
    <t>22602</t>
  </si>
  <si>
    <t>Dual Flushing Mechanism</t>
  </si>
  <si>
    <t>37981407</t>
  </si>
  <si>
    <t>Complementary-products</t>
  </si>
  <si>
    <t>3221</t>
  </si>
  <si>
    <t>50.00</t>
  </si>
  <si>
    <t>24675</t>
  </si>
  <si>
    <t>Angle Valve - Ital Tap 1/2"x1/2"</t>
  </si>
  <si>
    <t>10113-923</t>
  </si>
  <si>
    <t>6486</t>
  </si>
  <si>
    <t>14.00</t>
  </si>
  <si>
    <t>19985</t>
  </si>
  <si>
    <t>Angle Valve - Ital Tap 1/2"x3/8"</t>
  </si>
  <si>
    <t>10113-933</t>
  </si>
  <si>
    <t>4111</t>
  </si>
  <si>
    <t>20010</t>
  </si>
  <si>
    <t>S50 C/C Cistern White With Dual Flush Mechanism</t>
  </si>
  <si>
    <t>5322B003-5450</t>
  </si>
  <si>
    <t>20282</t>
  </si>
  <si>
    <t>Frame Ceramic Cover Syphon Cap M. Stone</t>
  </si>
  <si>
    <t>6392L076-0159</t>
  </si>
  <si>
    <t>145</t>
  </si>
  <si>
    <t>145.00</t>
  </si>
  <si>
    <t>28848</t>
  </si>
  <si>
    <t>Select Control Panel - White With Gold Buttons (Glass)</t>
  </si>
  <si>
    <t>740-1104</t>
  </si>
  <si>
    <t>23274</t>
  </si>
  <si>
    <t>Origin control panel White</t>
  </si>
  <si>
    <t>740-1600</t>
  </si>
  <si>
    <t>Control Panels</t>
  </si>
  <si>
    <t>Height: 169 mm Width : 249 mm Depth : 10 mm</t>
  </si>
  <si>
    <t>416</t>
  </si>
  <si>
    <t>416.00</t>
  </si>
  <si>
    <t>740-1601</t>
  </si>
  <si>
    <t>740-1602</t>
  </si>
  <si>
    <t>Mink</t>
  </si>
  <si>
    <t>740-1603</t>
  </si>
  <si>
    <t>Origin control panel Tempered glass main body Black</t>
  </si>
  <si>
    <t>396</t>
  </si>
  <si>
    <t>396.00</t>
  </si>
  <si>
    <t>20112</t>
  </si>
  <si>
    <t>Origin control panel Tempered glass main body Taupe</t>
  </si>
  <si>
    <t>24047</t>
  </si>
  <si>
    <t>Origin control panel Tempered glass main body Mink</t>
  </si>
  <si>
    <t>24372</t>
  </si>
  <si>
    <t>Voyage Control Panel White</t>
  </si>
  <si>
    <t>740-1900</t>
  </si>
  <si>
    <t>Height: 1190 mm Width : 600 mm Depth : 25 mm</t>
  </si>
  <si>
    <t>2484</t>
  </si>
  <si>
    <t>740-1901</t>
  </si>
  <si>
    <t>Voyage Control Panel Black</t>
  </si>
  <si>
    <t>2463</t>
  </si>
  <si>
    <t>2463.00</t>
  </si>
  <si>
    <t>19023</t>
  </si>
  <si>
    <t>Liquid mechanic flush plate Glossy black</t>
  </si>
  <si>
    <t>740-2101</t>
  </si>
  <si>
    <t>Height: 170 mm Width : 25 mm Depth : 10 mm</t>
  </si>
  <si>
    <t>636</t>
  </si>
  <si>
    <t>636.00</t>
  </si>
  <si>
    <t>Clossy black</t>
  </si>
  <si>
    <t>740-2180</t>
  </si>
  <si>
    <t>Liquid Liquid mechanic flush plate</t>
  </si>
  <si>
    <t>543</t>
  </si>
  <si>
    <t>543.00</t>
  </si>
  <si>
    <t>22676</t>
  </si>
  <si>
    <t>Root Round Flush Plate, White</t>
  </si>
  <si>
    <t>Height: 165 mm Width : 244 mm Depth : 9 mm</t>
  </si>
  <si>
    <t>740-2224</t>
  </si>
  <si>
    <t>740-2295</t>
  </si>
  <si>
    <t>Root Round Flush Plate, Gold</t>
  </si>
  <si>
    <t>28851</t>
  </si>
  <si>
    <t>Root Round Control Panel - Brushed Nickel</t>
  </si>
  <si>
    <t>30766</t>
  </si>
  <si>
    <t>Root Square Flush Plate, Gold</t>
  </si>
  <si>
    <t>740-2324</t>
  </si>
  <si>
    <t>29323</t>
  </si>
  <si>
    <t>Root Square Control Panel - Chrome</t>
  </si>
  <si>
    <t>740-2380</t>
  </si>
  <si>
    <t>123</t>
  </si>
  <si>
    <t>123.00</t>
  </si>
  <si>
    <t>29301</t>
  </si>
  <si>
    <t>Rapid Installation-3/6 Liter Concealed Cistern Set(Pre-Wall GypsumplateWall)-8 Cm-Assembly ToWall</t>
  </si>
  <si>
    <t>768-5800-01</t>
  </si>
  <si>
    <t>Height: 1120 mm Width : 555 mm Depth : 90 mm</t>
  </si>
  <si>
    <t>Vitrus glass cistern, for wall-hung WC pans, White , Adjusted to 3/6 L</t>
  </si>
  <si>
    <t>770-5760-01</t>
  </si>
  <si>
    <t>1932</t>
  </si>
  <si>
    <t>1932.00</t>
  </si>
  <si>
    <t>24375</t>
  </si>
  <si>
    <t>Glass cistern, for wall-hung WC pans, black</t>
  </si>
  <si>
    <t>770-5761-01</t>
  </si>
  <si>
    <t>1892</t>
  </si>
  <si>
    <t>1892.00</t>
  </si>
  <si>
    <t>24376</t>
  </si>
  <si>
    <t>Q-Line Bath Mixer from Floor</t>
  </si>
  <si>
    <t>A41289EXP</t>
  </si>
  <si>
    <t>2293</t>
  </si>
  <si>
    <t>2293.00</t>
  </si>
  <si>
    <t>23680</t>
  </si>
  <si>
    <t>Ilia Built In Stop Valve (G3/4*)</t>
  </si>
  <si>
    <t>A41417EXP</t>
  </si>
  <si>
    <t>189</t>
  </si>
  <si>
    <t>189.00</t>
  </si>
  <si>
    <t>20440</t>
  </si>
  <si>
    <t>Istanbul Built In Stop Valve</t>
  </si>
  <si>
    <t>A41419EXP</t>
  </si>
  <si>
    <t>234</t>
  </si>
  <si>
    <t>234.00</t>
  </si>
  <si>
    <t>20441</t>
  </si>
  <si>
    <t>Juno Classic Built In Stop Valve</t>
  </si>
  <si>
    <t>A41432EXP</t>
  </si>
  <si>
    <t>Height: 59 mm Depth : 60 mm</t>
  </si>
  <si>
    <t>417</t>
  </si>
  <si>
    <t>417.00</t>
  </si>
  <si>
    <t>Nest Trendy Blt In Stop Valve</t>
  </si>
  <si>
    <t>A41433EXP</t>
  </si>
  <si>
    <t>Height: 80 mm Depth : 73 mm</t>
  </si>
  <si>
    <t>129</t>
  </si>
  <si>
    <t>129.00</t>
  </si>
  <si>
    <t>Flo S Blt In Stop Valve R1/2</t>
  </si>
  <si>
    <t>A41438EXP</t>
  </si>
  <si>
    <t>213</t>
  </si>
  <si>
    <t>213.00</t>
  </si>
  <si>
    <t>23676</t>
  </si>
  <si>
    <t>Juno Juno Interval Tap</t>
  </si>
  <si>
    <t>A4155123EXP</t>
  </si>
  <si>
    <t>137</t>
  </si>
  <si>
    <t>137.00</t>
  </si>
  <si>
    <t>23326</t>
  </si>
  <si>
    <t>Juno Interval tap Copper</t>
  </si>
  <si>
    <t>A4155126EXP</t>
  </si>
  <si>
    <t>135</t>
  </si>
  <si>
    <t>135.00</t>
  </si>
  <si>
    <t>22915</t>
  </si>
  <si>
    <t>Diverters Built-In 2 Way Diverter</t>
  </si>
  <si>
    <t>A41656EXP</t>
  </si>
  <si>
    <t>Height: 116 mm Width : 116 mm Depth : 45 mm</t>
  </si>
  <si>
    <t>309</t>
  </si>
  <si>
    <t>309.00</t>
  </si>
  <si>
    <t>Diverters Built-In 3 Way Diverter</t>
  </si>
  <si>
    <t>A41657EXP</t>
  </si>
  <si>
    <t>294</t>
  </si>
  <si>
    <t>Istanbul Built-In 3 Way Diverter</t>
  </si>
  <si>
    <t>A41840EXP</t>
  </si>
  <si>
    <t>Height: 120 mm Width : 100 mm Depth : 50 mm</t>
  </si>
  <si>
    <t>1897</t>
  </si>
  <si>
    <t>1897.00</t>
  </si>
  <si>
    <t>X-Line Diverter</t>
  </si>
  <si>
    <t>A42276EXP</t>
  </si>
  <si>
    <t>Height: 170 mm Width : 170 mm Depth : 84 mm</t>
  </si>
  <si>
    <t>599</t>
  </si>
  <si>
    <t>599.00</t>
  </si>
  <si>
    <t>Origin Bath Spout, Matte Black</t>
  </si>
  <si>
    <t>A4262236</t>
  </si>
  <si>
    <t>22182</t>
  </si>
  <si>
    <t>Origin Built-in Two Way Diverter</t>
  </si>
  <si>
    <t>A42623</t>
  </si>
  <si>
    <t>311</t>
  </si>
  <si>
    <t>311.00</t>
  </si>
  <si>
    <t>23447</t>
  </si>
  <si>
    <t>Origin Built-in 2 way diverter Copper</t>
  </si>
  <si>
    <t>A4262326</t>
  </si>
  <si>
    <t>23061</t>
  </si>
  <si>
    <t>Origin Built-in 2way Diverter Brushed Nickel</t>
  </si>
  <si>
    <t>A4262334</t>
  </si>
  <si>
    <t>458</t>
  </si>
  <si>
    <t>458.00</t>
  </si>
  <si>
    <t>23678</t>
  </si>
  <si>
    <t>Origin Built-in 2 way diverter Matte Black</t>
  </si>
  <si>
    <t>A4262336</t>
  </si>
  <si>
    <t>478</t>
  </si>
  <si>
    <t>478.00</t>
  </si>
  <si>
    <t>23341</t>
  </si>
  <si>
    <t>Origin Built-in 3 way Diverter</t>
  </si>
  <si>
    <t>A42624</t>
  </si>
  <si>
    <t>310.00</t>
  </si>
  <si>
    <t>24119</t>
  </si>
  <si>
    <t>Origin Built-in 3 way diverter Matte Black</t>
  </si>
  <si>
    <t>A4262436</t>
  </si>
  <si>
    <t>488</t>
  </si>
  <si>
    <t>488.00</t>
  </si>
  <si>
    <t>22289</t>
  </si>
  <si>
    <t>Origin Built-in Handshower Outlet - Matte Black</t>
  </si>
  <si>
    <t>Root Round Sink Mixer - Gold</t>
  </si>
  <si>
    <t>A4274223EXP</t>
  </si>
  <si>
    <t>Kitchen-brassware</t>
  </si>
  <si>
    <t>521</t>
  </si>
  <si>
    <t>521.00</t>
  </si>
  <si>
    <t>23082</t>
  </si>
  <si>
    <t>Root Round Sink Mixer - Copper</t>
  </si>
  <si>
    <t>A4274226EXP</t>
  </si>
  <si>
    <t>23083</t>
  </si>
  <si>
    <t>Root Square Sink Mixer Gold</t>
  </si>
  <si>
    <t>A4275323EXP</t>
  </si>
  <si>
    <t>711</t>
  </si>
  <si>
    <t>711.00</t>
  </si>
  <si>
    <t>23313</t>
  </si>
  <si>
    <t>Root Square Sink Mixer Copper</t>
  </si>
  <si>
    <t>A4275326EXP</t>
  </si>
  <si>
    <t>23085</t>
  </si>
  <si>
    <t>Origin Classic Concealed Part</t>
  </si>
  <si>
    <t>A42819</t>
  </si>
  <si>
    <t>177</t>
  </si>
  <si>
    <t>177.00</t>
  </si>
  <si>
    <t>28906</t>
  </si>
  <si>
    <t>Origin Built-in 2 way diverter, exposed part</t>
  </si>
  <si>
    <t>A4285726</t>
  </si>
  <si>
    <t>285</t>
  </si>
  <si>
    <t>68</t>
  </si>
  <si>
    <t>285.00</t>
  </si>
  <si>
    <t>29133</t>
  </si>
  <si>
    <t>Origin Built-in 2 way diverter, exposed part Matt Black</t>
  </si>
  <si>
    <t>A4285736</t>
  </si>
  <si>
    <t>400.00</t>
  </si>
  <si>
    <t>29193</t>
  </si>
  <si>
    <t>Built-in 3 way diverter, exposed part - Copper</t>
  </si>
  <si>
    <t>A4285926</t>
  </si>
  <si>
    <t>29148</t>
  </si>
  <si>
    <t>Origin Built-in 3 way diverter, exposed part - Matt Black</t>
  </si>
  <si>
    <t>A4285936</t>
  </si>
  <si>
    <t>450.00</t>
  </si>
  <si>
    <t>29092</t>
  </si>
  <si>
    <t>Bottle Trap For Basins</t>
  </si>
  <si>
    <t>A4512323</t>
  </si>
  <si>
    <t>211</t>
  </si>
  <si>
    <t>211.00</t>
  </si>
  <si>
    <t>24531</t>
  </si>
  <si>
    <t>A4512326</t>
  </si>
  <si>
    <t>180</t>
  </si>
  <si>
    <t>22671</t>
  </si>
  <si>
    <t>Origin Bottle Tap For Basins (T Type), Matte Black</t>
  </si>
  <si>
    <t>A4512336</t>
  </si>
  <si>
    <t>259.00</t>
  </si>
  <si>
    <t>23315</t>
  </si>
  <si>
    <t>Bottle Trap For Basins-4512399</t>
  </si>
  <si>
    <t>A4512399EXP</t>
  </si>
  <si>
    <t>205</t>
  </si>
  <si>
    <t>205.00</t>
  </si>
  <si>
    <t>20517</t>
  </si>
  <si>
    <t>Waste Set Universal</t>
  </si>
  <si>
    <t>A4514923</t>
  </si>
  <si>
    <t>24655</t>
  </si>
  <si>
    <t>A4514926</t>
  </si>
  <si>
    <t>103</t>
  </si>
  <si>
    <t>24659</t>
  </si>
  <si>
    <t>Bottle trap for Basins (w/ symmetric rosette) Copper</t>
  </si>
  <si>
    <t>A4515926</t>
  </si>
  <si>
    <t>558</t>
  </si>
  <si>
    <t>558.00</t>
  </si>
  <si>
    <t>23774</t>
  </si>
  <si>
    <t>Bottle trap for Basins (w/ symmetric rosette) Matte Black</t>
  </si>
  <si>
    <t>A4515936</t>
  </si>
  <si>
    <t>658</t>
  </si>
  <si>
    <t>658.00</t>
  </si>
  <si>
    <t>23776</t>
  </si>
  <si>
    <t>Freestanding Bottle Trap System (Short) Matt Black</t>
  </si>
  <si>
    <t>A4516036</t>
  </si>
  <si>
    <t>3307</t>
  </si>
  <si>
    <t>3307.00</t>
  </si>
  <si>
    <t>23470</t>
  </si>
  <si>
    <t>Origin Interval Tap Gold</t>
  </si>
  <si>
    <t>A4521423</t>
  </si>
  <si>
    <t>166</t>
  </si>
  <si>
    <t>166.00</t>
  </si>
  <si>
    <t>29173</t>
  </si>
  <si>
    <t>Origin Interval Tap Copper</t>
  </si>
  <si>
    <t>A4521426</t>
  </si>
  <si>
    <t>29303</t>
  </si>
  <si>
    <t>Istanbul Interval Tap</t>
  </si>
  <si>
    <t>A45220EXP</t>
  </si>
  <si>
    <t>290.00</t>
  </si>
  <si>
    <t>21522</t>
  </si>
  <si>
    <t>Root Square Built-in handshower outlet (wall mounted) Gold</t>
  </si>
  <si>
    <t>A4523323EXP</t>
  </si>
  <si>
    <t>Height: 52 mm Width : 52 mm Depth : 70 mm</t>
  </si>
  <si>
    <t>380</t>
  </si>
  <si>
    <t>59</t>
  </si>
  <si>
    <t>380.00</t>
  </si>
  <si>
    <t>A4523326EXP</t>
  </si>
  <si>
    <t>brushed nickel</t>
  </si>
  <si>
    <t>Root Square Built-in handshower outlet (wall mounted) Copper</t>
  </si>
  <si>
    <t>393</t>
  </si>
  <si>
    <t>393.00</t>
  </si>
  <si>
    <t>29249</t>
  </si>
  <si>
    <t>Root Square Built-in handshower outlet (wall mounted) - Brushed Nickel</t>
  </si>
  <si>
    <t>A4523334</t>
  </si>
  <si>
    <t>460.00</t>
  </si>
  <si>
    <t>23960</t>
  </si>
  <si>
    <t>Interval Tap</t>
  </si>
  <si>
    <t>A45235EXP</t>
  </si>
  <si>
    <t xml:space="preserve">Flow rate (L/min): 34.5 
Badge diameter (mm): 65 
European Water Label Class: 13) 
Operating Temperature: Max: 80 Recommended (565) 
Operating Pressure: Min: 0.5Bar Max: 10 Recommended (15Bar) 
Concept: Artema Essentials 
Warranty Period EXP (Year): 10</t>
  </si>
  <si>
    <t>Bidet Handshower</t>
  </si>
  <si>
    <t>A4553423EXP</t>
  </si>
  <si>
    <t>Bidet-handshowers</t>
  </si>
  <si>
    <t>Height: 115 mm Width : 21 mm Depth : 57 mm</t>
  </si>
  <si>
    <t>159</t>
  </si>
  <si>
    <t>159.00</t>
  </si>
  <si>
    <t>Vita 1F Handshower Set</t>
  </si>
  <si>
    <t>A4562323EXP</t>
  </si>
  <si>
    <t>Shower- sets</t>
  </si>
  <si>
    <t>Height: 187 mm Width : 100 mm Depth : 82 mm</t>
  </si>
  <si>
    <t>428</t>
  </si>
  <si>
    <t>428.00</t>
  </si>
  <si>
    <t>Shine Round 3F Handshower Set</t>
  </si>
  <si>
    <t>A4562723WSA</t>
  </si>
  <si>
    <t>Handshower-sets</t>
  </si>
  <si>
    <t>Shower system</t>
  </si>
  <si>
    <t>236</t>
  </si>
  <si>
    <t>236.00</t>
  </si>
  <si>
    <t>24715</t>
  </si>
  <si>
    <t>A45627EXP</t>
  </si>
  <si>
    <t>251</t>
  </si>
  <si>
    <t>251.00</t>
  </si>
  <si>
    <t>24385</t>
  </si>
  <si>
    <t>Circle Flush Plate White with Brushed Chrome Button</t>
  </si>
  <si>
    <t>FM-15322</t>
  </si>
  <si>
    <t>20627</t>
  </si>
  <si>
    <t>Caro Flush Plate White with Brushed Chrome Button</t>
  </si>
  <si>
    <t>FM-256717</t>
  </si>
  <si>
    <t>20629</t>
  </si>
  <si>
    <t>Ovate Duo Flush Plate Matt Chrome</t>
  </si>
  <si>
    <t>FM-257421</t>
  </si>
  <si>
    <t>20630</t>
  </si>
  <si>
    <t>Dots Duo Flush Plate Matt Chrome</t>
  </si>
  <si>
    <t>FM-257427</t>
  </si>
  <si>
    <t>20631</t>
  </si>
  <si>
    <t>Dots Duo Flush Plate Chrome Shine</t>
  </si>
  <si>
    <t>FM-257429</t>
  </si>
  <si>
    <t>23806</t>
  </si>
  <si>
    <t>Caro Flush Plate Black with Brushed Chrome Button</t>
  </si>
  <si>
    <t>FM-384645</t>
  </si>
  <si>
    <t>20632</t>
  </si>
  <si>
    <t>Circle Flush Plate Black with Brushed Chrome Button</t>
  </si>
  <si>
    <t>FM-385302</t>
  </si>
  <si>
    <t>20633</t>
  </si>
  <si>
    <t>Plate Vivo Matt Chrome</t>
  </si>
  <si>
    <t>FM-634675</t>
  </si>
  <si>
    <t>20636</t>
  </si>
  <si>
    <t>Plate Vivo Glossy Chrome</t>
  </si>
  <si>
    <t>FM-634678</t>
  </si>
  <si>
    <t>20637</t>
  </si>
  <si>
    <t>Plate Dura Matt Chrome</t>
  </si>
  <si>
    <t>FM-634691</t>
  </si>
  <si>
    <t>20638</t>
  </si>
  <si>
    <t>Plate Dura Glossy Chrome</t>
  </si>
  <si>
    <t>FM-634694</t>
  </si>
  <si>
    <t>20639</t>
  </si>
  <si>
    <t>Plate Futura White With Silver Metal Button</t>
  </si>
  <si>
    <t>FM-634850</t>
  </si>
  <si>
    <t>200.00</t>
  </si>
  <si>
    <t>20640</t>
  </si>
  <si>
    <t>Duplo WC 189 Standard Element</t>
  </si>
  <si>
    <t>FM-674522</t>
  </si>
  <si>
    <t>22146</t>
  </si>
  <si>
    <t>Ovate Duo Flush Plate Matt Black</t>
  </si>
  <si>
    <t>FM-681008</t>
  </si>
  <si>
    <t>147</t>
  </si>
  <si>
    <t>147.00</t>
  </si>
  <si>
    <t>24530</t>
  </si>
  <si>
    <t>Dots Duo Flush Plate Matt Black</t>
  </si>
  <si>
    <t>FM-681013</t>
  </si>
  <si>
    <t>20641</t>
  </si>
  <si>
    <t>Stainless Steel Kitchen Sink Hyp860</t>
  </si>
  <si>
    <t>HYP860.500GT7K</t>
  </si>
  <si>
    <t>Kitchen-sinks</t>
  </si>
  <si>
    <t>23141</t>
  </si>
  <si>
    <t>Mare Cistern</t>
  </si>
  <si>
    <t>MA410-00CB00E-0000</t>
  </si>
  <si>
    <t>222</t>
  </si>
  <si>
    <t>222.00</t>
  </si>
  <si>
    <t>23286</t>
  </si>
  <si>
    <t>Pitta Full Pedestal Ext. Wht.</t>
  </si>
  <si>
    <t>PA250-00CB00E-0000</t>
  </si>
  <si>
    <t>1689</t>
  </si>
  <si>
    <t>89.00</t>
  </si>
  <si>
    <t>24677</t>
  </si>
  <si>
    <t>PEX-225 Angle Valve 1/2"x1/2" C/P</t>
  </si>
  <si>
    <t>PEX-225</t>
  </si>
  <si>
    <t>20016</t>
  </si>
  <si>
    <t>13.00</t>
  </si>
  <si>
    <t>24694</t>
  </si>
  <si>
    <t>PEX-228 Angle Valve 1/2"x3/8” C/P</t>
  </si>
  <si>
    <t>PEX-228</t>
  </si>
  <si>
    <t>17482</t>
  </si>
  <si>
    <t>24680</t>
  </si>
  <si>
    <t>Bottle Trap 1 1/4" 32mm*400mm outlet pipe tariff code:8481801190</t>
  </si>
  <si>
    <t>PEX-460-1.1/4-CP</t>
  </si>
  <si>
    <t>114</t>
  </si>
  <si>
    <t>114.00</t>
  </si>
  <si>
    <t>24687</t>
  </si>
  <si>
    <t>Contemporary bottle trap 1.1/4" x 1.1/4" with 400mm outlet pipe</t>
  </si>
  <si>
    <t>PEX-461-1.1/4-C/P</t>
  </si>
  <si>
    <t>207</t>
  </si>
  <si>
    <t>207.00</t>
  </si>
  <si>
    <t>23824</t>
  </si>
  <si>
    <t>1.1/4" White PP Bottle Trap without Plug Chain &amp; Waste</t>
  </si>
  <si>
    <t>PEX-471-WHT/400MM</t>
  </si>
  <si>
    <t>1.1/4&amp;quot; White PP Bottle Trap without Plug Chain &amp;amp; Waste</t>
  </si>
  <si>
    <t xml:space="preserve">-
</t>
  </si>
  <si>
    <t>0.48</t>
  </si>
  <si>
    <t>4132</t>
  </si>
  <si>
    <t>16.00</t>
  </si>
  <si>
    <t>19984</t>
  </si>
  <si>
    <t>PEX Abs with chrome top Shattaf Polished Chrome</t>
  </si>
  <si>
    <t>PEX-Shattaf</t>
  </si>
  <si>
    <t>27.00</t>
  </si>
  <si>
    <t>24512</t>
  </si>
  <si>
    <t>Arkitekta Liquid Soap Dispenser - Counter Top</t>
  </si>
  <si>
    <t>A44367</t>
  </si>
  <si>
    <t>Height: 160 mm Width : 70 mm Depth : 92 mm</t>
  </si>
  <si>
    <t>148.00</t>
  </si>
  <si>
    <t>Arkitekta Liquid Soap Dispenser(Wall Mounted)</t>
  </si>
  <si>
    <t>A44372EXP</t>
  </si>
  <si>
    <t>Height: 200 mm Width : 125 mm Depth : 127 mm</t>
  </si>
  <si>
    <t>312</t>
  </si>
  <si>
    <t>312.00</t>
  </si>
  <si>
    <t>A44376</t>
  </si>
  <si>
    <t>Other-accessories</t>
  </si>
  <si>
    <t>20912</t>
  </si>
  <si>
    <t>Matrix Soap Dish</t>
  </si>
  <si>
    <t>A44576</t>
  </si>
  <si>
    <t>Height: 50 mm Width : 110 mm Depth : 145 mm</t>
  </si>
  <si>
    <t>133</t>
  </si>
  <si>
    <t>133.47</t>
  </si>
  <si>
    <t>Eternity Roll Holder</t>
  </si>
  <si>
    <t>A44873</t>
  </si>
  <si>
    <t>Height: 68 mm Width : 159 mm Depth : 108 mm</t>
  </si>
  <si>
    <t>227</t>
  </si>
  <si>
    <t>227.26</t>
  </si>
  <si>
    <t>Origin Roll Holder, Copper</t>
  </si>
  <si>
    <t>A4488726</t>
  </si>
  <si>
    <t>Height: 58 mm Width : 162 mm Depth : 80 mm</t>
  </si>
  <si>
    <t>269.13</t>
  </si>
  <si>
    <t>Origin Toothbrush holder (wall-mounted)</t>
  </si>
  <si>
    <t>A4489036</t>
  </si>
  <si>
    <t>Height: 105 mm Width : 70 mm Depth : 80 mm</t>
  </si>
  <si>
    <t>226</t>
  </si>
  <si>
    <t>226.03</t>
  </si>
  <si>
    <t>Mat black</t>
  </si>
  <si>
    <t>Easy Accessory Set (5 Pcs)</t>
  </si>
  <si>
    <t>A44967</t>
  </si>
  <si>
    <t>Vitra Bathroom Accessory Set - 5 Piece Bathroom Accessory Pack - Includes Wall Mounted Chrome Towel Ring, Toilet Roll Holder, Soap Dish, Toothbrush Holder and Bath Robe Hook - Chrome</t>
  </si>
  <si>
    <t>245.34</t>
  </si>
  <si>
    <t>Q-Line Shelf</t>
  </si>
  <si>
    <t>A44991</t>
  </si>
  <si>
    <t>Height: 60 mm Width : 505 mm Depth : 122 mm</t>
  </si>
  <si>
    <t>216</t>
  </si>
  <si>
    <t>215.61</t>
  </si>
  <si>
    <t>System Rain Ls25 Shower Column</t>
  </si>
  <si>
    <t>A45597EXP</t>
  </si>
  <si>
    <t>Height: 850 mm Depth : 545 mm</t>
  </si>
  <si>
    <t>1081</t>
  </si>
  <si>
    <t>1080.54</t>
  </si>
  <si>
    <t>System Rain Lh21 Shower Column</t>
  </si>
  <si>
    <t>A45598EXP</t>
  </si>
  <si>
    <t>Height: 1220 mm Depth : 585 mm</t>
  </si>
  <si>
    <t>1299</t>
  </si>
  <si>
    <t>1298.96</t>
  </si>
  <si>
    <t>Connection Pipe</t>
  </si>
  <si>
    <t>A4564923</t>
  </si>
  <si>
    <t>Shower-heads</t>
  </si>
  <si>
    <t>21761</t>
  </si>
  <si>
    <t>Connection Pipe Polished Copper</t>
  </si>
  <si>
    <t>A4564926</t>
  </si>
  <si>
    <t>128</t>
  </si>
  <si>
    <t>128.00</t>
  </si>
  <si>
    <t>23394</t>
  </si>
  <si>
    <t>A4564936</t>
  </si>
  <si>
    <t>155.00</t>
  </si>
  <si>
    <t>23244</t>
  </si>
  <si>
    <t>A4565023</t>
  </si>
  <si>
    <t>151.00</t>
  </si>
  <si>
    <t>24015</t>
  </si>
  <si>
    <t>Connection pipe (ceiling mounted-long) Polished copper 300mm</t>
  </si>
  <si>
    <t>A4565026</t>
  </si>
  <si>
    <t>150.00</t>
  </si>
  <si>
    <t>24521</t>
  </si>
  <si>
    <t>Origin Connection Pipe - Ceiling Mounted-Long</t>
  </si>
  <si>
    <t>A4565036</t>
  </si>
  <si>
    <t>188</t>
  </si>
  <si>
    <t>188.00</t>
  </si>
  <si>
    <t>24394</t>
  </si>
  <si>
    <t>Connection pipe (wall mounted-long) Polished copper</t>
  </si>
  <si>
    <t>A4565226</t>
  </si>
  <si>
    <t>146</t>
  </si>
  <si>
    <t>85</t>
  </si>
  <si>
    <t>146.00</t>
  </si>
  <si>
    <t>24617</t>
  </si>
  <si>
    <t>Lite Lc Showerhead</t>
  </si>
  <si>
    <t>A4567423EXP</t>
  </si>
  <si>
    <t>822</t>
  </si>
  <si>
    <t>822.00</t>
  </si>
  <si>
    <t>24526</t>
  </si>
  <si>
    <t>A45691TPX</t>
  </si>
  <si>
    <t>Shower-sets</t>
  </si>
  <si>
    <t>221</t>
  </si>
  <si>
    <t>221.00</t>
  </si>
  <si>
    <t>24648</t>
  </si>
  <si>
    <t>Shine Square Shower Column</t>
  </si>
  <si>
    <t>A45699EXP</t>
  </si>
  <si>
    <t>1271</t>
  </si>
  <si>
    <t>1271.00</t>
  </si>
  <si>
    <t>23367</t>
  </si>
  <si>
    <t>Lite Lc Shower Column</t>
  </si>
  <si>
    <t>A45700EXP</t>
  </si>
  <si>
    <t>1311</t>
  </si>
  <si>
    <t>1311.00</t>
  </si>
  <si>
    <t>24640</t>
  </si>
  <si>
    <t>Bliss 2F Headshower - Copper 240mm</t>
  </si>
  <si>
    <t>A4574226EXP</t>
  </si>
  <si>
    <t>805</t>
  </si>
  <si>
    <t>805.00</t>
  </si>
  <si>
    <t>24012</t>
  </si>
  <si>
    <t>Bliss 3F Gold Shower Set</t>
  </si>
  <si>
    <t>A4574323EXP</t>
  </si>
  <si>
    <t>617</t>
  </si>
  <si>
    <t>617.00</t>
  </si>
  <si>
    <t>29252</t>
  </si>
  <si>
    <t>Bliss 3F Shower set - Copper</t>
  </si>
  <si>
    <t>A4574326EXP</t>
  </si>
  <si>
    <t>24407</t>
  </si>
  <si>
    <t>Bidet Spray Copper</t>
  </si>
  <si>
    <t>A4574726</t>
  </si>
  <si>
    <t>29083</t>
  </si>
  <si>
    <t>Bliss round shower column Gold</t>
  </si>
  <si>
    <t>A4578823EXP</t>
  </si>
  <si>
    <t>2004</t>
  </si>
  <si>
    <t>2004.00</t>
  </si>
  <si>
    <t>29278</t>
  </si>
  <si>
    <t>Bliss Square Shower Column Gold</t>
  </si>
  <si>
    <t>A4578923EXP</t>
  </si>
  <si>
    <t>2405</t>
  </si>
  <si>
    <t>2405.00</t>
  </si>
  <si>
    <t>29338</t>
  </si>
  <si>
    <t>Bliss Square Showerhead Copper</t>
  </si>
  <si>
    <t>A4579226EXP</t>
  </si>
  <si>
    <t>1002</t>
  </si>
  <si>
    <t>1002.00</t>
  </si>
  <si>
    <t>29308</t>
  </si>
  <si>
    <t>Origin Shower columns, Taupe with back coating</t>
  </si>
  <si>
    <t>A45806</t>
  </si>
  <si>
    <t>Showers</t>
  </si>
  <si>
    <t>2774</t>
  </si>
  <si>
    <t>2774.00</t>
  </si>
  <si>
    <t>22142</t>
  </si>
  <si>
    <t>Shake Shower System 153x022</t>
  </si>
  <si>
    <t>A45807</t>
  </si>
  <si>
    <t>2096</t>
  </si>
  <si>
    <t>2096.00</t>
  </si>
  <si>
    <t>24630</t>
  </si>
  <si>
    <t>Shower system-06 (160x22 cm) Chrome Coating</t>
  </si>
  <si>
    <t>A45808</t>
  </si>
  <si>
    <t>1543</t>
  </si>
  <si>
    <t>1543.00</t>
  </si>
  <si>
    <t>24604</t>
  </si>
  <si>
    <t>TAKE SHOWER SYSTEM 145 X 022</t>
  </si>
  <si>
    <t>A45809</t>
  </si>
  <si>
    <t>2348</t>
  </si>
  <si>
    <t>2348.00</t>
  </si>
  <si>
    <t>24560</t>
  </si>
  <si>
    <t>Istanbul Roll Holder - Single</t>
  </si>
  <si>
    <t>A4800123</t>
  </si>
  <si>
    <t>508</t>
  </si>
  <si>
    <t>508.00</t>
  </si>
  <si>
    <t>23781</t>
  </si>
  <si>
    <t>A4800423</t>
  </si>
  <si>
    <t>23785</t>
  </si>
  <si>
    <t>A4800823</t>
  </si>
  <si>
    <t>540</t>
  </si>
  <si>
    <t>540.00</t>
  </si>
  <si>
    <t>22044</t>
  </si>
  <si>
    <t>Istanbul Built-In Showerhead</t>
  </si>
  <si>
    <t>A4802323EXP</t>
  </si>
  <si>
    <t>5139</t>
  </si>
  <si>
    <t>5139.00</t>
  </si>
  <si>
    <t>24410</t>
  </si>
  <si>
    <t>A48023EXP</t>
  </si>
  <si>
    <t>6016</t>
  </si>
  <si>
    <t>6016.00</t>
  </si>
  <si>
    <t>24411</t>
  </si>
  <si>
    <t>CALSSIC - Shower Channel Simple Legal With Pipe - Stainless Body - V.O - 60 CM Bronze</t>
  </si>
  <si>
    <t>CLASSIC-4013.0Y050P.060.B</t>
  </si>
  <si>
    <t>Shower channels</t>
  </si>
  <si>
    <t>29255</t>
  </si>
  <si>
    <t>CALSSIC - SCALA - Shower Channel Stainless Body - V.O - 60 cm - 2" - 50Ø Diameter</t>
  </si>
  <si>
    <t>CLASSIC-4014.0A050P.060.1</t>
  </si>
  <si>
    <t>142</t>
  </si>
  <si>
    <t>506</t>
  </si>
  <si>
    <t>142.00</t>
  </si>
  <si>
    <t>29221</t>
  </si>
  <si>
    <t>CALSSIC - SCALA - Shower Channel Stainless Body - V.O - 80 cm - 2" - 50Ø Diameter</t>
  </si>
  <si>
    <t>CLASSIC-4014.0A050P.080.1</t>
  </si>
  <si>
    <t>176</t>
  </si>
  <si>
    <t>176.00</t>
  </si>
  <si>
    <t>29224</t>
  </si>
  <si>
    <t>DREAM Floor Grates - Without Lap - 1.20mm - 10x10cm</t>
  </si>
  <si>
    <t>DREAM-3158.1010P0.120.0</t>
  </si>
  <si>
    <t>35.00</t>
  </si>
  <si>
    <t>28926</t>
  </si>
  <si>
    <t>DREAM Floor Grates - Without Lap - 1.20mm - 15x15cm - With Finger Access</t>
  </si>
  <si>
    <t>DREAM-3158.1515P0.120.0</t>
  </si>
  <si>
    <t>42.00</t>
  </si>
  <si>
    <t>29291</t>
  </si>
  <si>
    <t>DREAM Floor Grates - Without Lap - 1.20mm - 15x15cm - with finger access - BRONZ</t>
  </si>
  <si>
    <t>DREAM-3158.1515P0.120.B</t>
  </si>
  <si>
    <t>51</t>
  </si>
  <si>
    <t>51.00</t>
  </si>
  <si>
    <t>28938</t>
  </si>
  <si>
    <t>DREAM Floor Grates - Without Lap - 1.20mm - 15x15cm - with finger access - Gold</t>
  </si>
  <si>
    <t>DREAM-3158.1515P0.120.G</t>
  </si>
  <si>
    <t>29279</t>
  </si>
  <si>
    <t>Water Saving Shower Head 20cm</t>
  </si>
  <si>
    <t>DS.SH320</t>
  </si>
  <si>
    <t>22425</t>
  </si>
  <si>
    <t>Arkitekta Bathrobe Holder - Double</t>
  </si>
  <si>
    <t>A44081</t>
  </si>
  <si>
    <t>Towel-bathrobe-holders</t>
  </si>
  <si>
    <t>83</t>
  </si>
  <si>
    <t>83.00</t>
  </si>
  <si>
    <t>24603</t>
  </si>
  <si>
    <t>Arkitekta Towel Holder</t>
  </si>
  <si>
    <t>A44225</t>
  </si>
  <si>
    <t>23688</t>
  </si>
  <si>
    <t>Arkitekta Reserve Roll Holder</t>
  </si>
  <si>
    <t>A44272</t>
  </si>
  <si>
    <t>Toilet-roll-holders</t>
  </si>
  <si>
    <t>113</t>
  </si>
  <si>
    <t>113.00</t>
  </si>
  <si>
    <t>23692</t>
  </si>
  <si>
    <t>Arkitekta Bath Towel Holder</t>
  </si>
  <si>
    <t>A44282EXP</t>
  </si>
  <si>
    <t>19779</t>
  </si>
  <si>
    <t>Arkitekta Paper Towel Holder</t>
  </si>
  <si>
    <t>A44284</t>
  </si>
  <si>
    <t>109</t>
  </si>
  <si>
    <t>109.00</t>
  </si>
  <si>
    <t>20463</t>
  </si>
  <si>
    <t>Arkitekta Wc Brush Holder</t>
  </si>
  <si>
    <t>A44287</t>
  </si>
  <si>
    <t>Toilet-brush-holders</t>
  </si>
  <si>
    <t>158</t>
  </si>
  <si>
    <t>158.00</t>
  </si>
  <si>
    <t>19080</t>
  </si>
  <si>
    <t>Arkitekta Toilet Paper Holder With Shelf</t>
  </si>
  <si>
    <t>A44334</t>
  </si>
  <si>
    <t>Height: 102 mm Width : 200 mm Depth : 127 mm</t>
  </si>
  <si>
    <t>A44340</t>
  </si>
  <si>
    <t>19150</t>
  </si>
  <si>
    <t>Arkitekta Towel Holder-Gold</t>
  </si>
  <si>
    <t>A4434023</t>
  </si>
  <si>
    <t>300.00</t>
  </si>
  <si>
    <t>23381</t>
  </si>
  <si>
    <t>A44373</t>
  </si>
  <si>
    <t>351</t>
  </si>
  <si>
    <t>351.00</t>
  </si>
  <si>
    <t>23701</t>
  </si>
  <si>
    <t>Ilia Toothbrush Holder</t>
  </si>
  <si>
    <t>A44383</t>
  </si>
  <si>
    <t>Toothbrush -Holders</t>
  </si>
  <si>
    <t>199</t>
  </si>
  <si>
    <t>23787</t>
  </si>
  <si>
    <t>Juno Classic Toothbrush Holder-Chrome</t>
  </si>
  <si>
    <t>A44419</t>
  </si>
  <si>
    <t>237</t>
  </si>
  <si>
    <t>237.00</t>
  </si>
  <si>
    <t>23707</t>
  </si>
  <si>
    <t>Juno Classic Toothbrush Holder-Gold</t>
  </si>
  <si>
    <t>A4441923</t>
  </si>
  <si>
    <t>23708</t>
  </si>
  <si>
    <t>Juno Classic Toothbrush Holder-Copper</t>
  </si>
  <si>
    <t>A4441926</t>
  </si>
  <si>
    <t>23709</t>
  </si>
  <si>
    <t>Juno Classic Towel Holder-Copper</t>
  </si>
  <si>
    <t>A4442126</t>
  </si>
  <si>
    <t>23962</t>
  </si>
  <si>
    <t>Juno Classic Wc Brush Holder-Chrome</t>
  </si>
  <si>
    <t>A44424</t>
  </si>
  <si>
    <t>332</t>
  </si>
  <si>
    <t>332.00</t>
  </si>
  <si>
    <t>23712</t>
  </si>
  <si>
    <t>Juno Classic Wc Brush Holder-Copper</t>
  </si>
  <si>
    <t>A4442426</t>
  </si>
  <si>
    <t>23714</t>
  </si>
  <si>
    <t>Juno Classic Reserve Roll Holder-Chrome</t>
  </si>
  <si>
    <t>A44425</t>
  </si>
  <si>
    <t>Height: 175 mm Width : 52 mm Depth : 80 mm</t>
  </si>
  <si>
    <t>217</t>
  </si>
  <si>
    <t>217.00</t>
  </si>
  <si>
    <t>A4442526</t>
  </si>
  <si>
    <t>Juno Classic Reserve Roll Holder-Copper</t>
  </si>
  <si>
    <t>216.00</t>
  </si>
  <si>
    <t>23716</t>
  </si>
  <si>
    <t>Somnia Towel Holder</t>
  </si>
  <si>
    <t>A44490EXP</t>
  </si>
  <si>
    <t>20483</t>
  </si>
  <si>
    <t>Juno WC Brsh Holder</t>
  </si>
  <si>
    <t>A44527EXP</t>
  </si>
  <si>
    <t>116</t>
  </si>
  <si>
    <t>116.00</t>
  </si>
  <si>
    <t>19793</t>
  </si>
  <si>
    <t>Juno Towel Holder 450Mm</t>
  </si>
  <si>
    <t>A44534EXP</t>
  </si>
  <si>
    <t>233</t>
  </si>
  <si>
    <t>233.00</t>
  </si>
  <si>
    <t>19794</t>
  </si>
  <si>
    <t>Juno WC Brush Holder Chrome(Glas W/O Cover)</t>
  </si>
  <si>
    <t>A44545EXP</t>
  </si>
  <si>
    <t>157.00</t>
  </si>
  <si>
    <t>19798</t>
  </si>
  <si>
    <t>Juno W Mount Toothbrush Holder Gold</t>
  </si>
  <si>
    <t>A4454623EXP</t>
  </si>
  <si>
    <t>197</t>
  </si>
  <si>
    <t>197.00</t>
  </si>
  <si>
    <t>19799</t>
  </si>
  <si>
    <t>Juno W Mount Toothbrush Holder</t>
  </si>
  <si>
    <t>A44546EXP</t>
  </si>
  <si>
    <t>Height: 118 mm Width : 135 mm Depth : 95 mm</t>
  </si>
  <si>
    <t>164</t>
  </si>
  <si>
    <t>164.00</t>
  </si>
  <si>
    <t>Eternity Toothbrush Holder - White / Shinny Chrome</t>
  </si>
  <si>
    <t>A4487257</t>
  </si>
  <si>
    <t>Height: 103 mm Width : 103 mm Depth : 118 mm</t>
  </si>
  <si>
    <t>White-chrome</t>
  </si>
  <si>
    <t>Origin Towel Holder 45cm, Copper</t>
  </si>
  <si>
    <t>A4488626</t>
  </si>
  <si>
    <t>Height: 58 mm Width : 508 mm Depth : 69 mm</t>
  </si>
  <si>
    <t>292</t>
  </si>
  <si>
    <t>292.00</t>
  </si>
  <si>
    <t>Origin WC brush holder (wall-mounted) Copper</t>
  </si>
  <si>
    <t>A4489426</t>
  </si>
  <si>
    <t>24263</t>
  </si>
  <si>
    <t>Origin Toothbrush Holder, Single (Wall-Mounted), Copper</t>
  </si>
  <si>
    <t>A4489626</t>
  </si>
  <si>
    <t>23636</t>
  </si>
  <si>
    <t>Origin Towel holder, 60 cm Copper</t>
  </si>
  <si>
    <t>A4489726</t>
  </si>
  <si>
    <t>Height: 58 mm Width : 658 mm Depth : 69 mm</t>
  </si>
  <si>
    <t>304.00</t>
  </si>
  <si>
    <t>A4489734</t>
  </si>
  <si>
    <t>A4489736</t>
  </si>
  <si>
    <t>Origin Towel holder, 60 cm Brushed nickel</t>
  </si>
  <si>
    <t>528</t>
  </si>
  <si>
    <t>528.00</t>
  </si>
  <si>
    <t>24591</t>
  </si>
  <si>
    <t>Origin Towel holder, 60 cm Black</t>
  </si>
  <si>
    <t>363</t>
  </si>
  <si>
    <t>363.00</t>
  </si>
  <si>
    <t>24626</t>
  </si>
  <si>
    <t>Origin Towel holder, triple Copper</t>
  </si>
  <si>
    <t>A4489926</t>
  </si>
  <si>
    <t>Height: 58 mm Width : 658 mm Depth : 207 mm</t>
  </si>
  <si>
    <t>Istanbul Towel Holder - Double</t>
  </si>
  <si>
    <t>A48010</t>
  </si>
  <si>
    <t>690.00</t>
  </si>
  <si>
    <t>22641</t>
  </si>
  <si>
    <t>A4801023</t>
  </si>
  <si>
    <t>845</t>
  </si>
  <si>
    <t>845.00</t>
  </si>
  <si>
    <t>21861</t>
  </si>
  <si>
    <t>A4801723</t>
  </si>
  <si>
    <t>775</t>
  </si>
  <si>
    <t>775.00</t>
  </si>
  <si>
    <t>23792</t>
  </si>
  <si>
    <t>Istanbul Wc Brush Holder</t>
  </si>
  <si>
    <t>A4804823</t>
  </si>
  <si>
    <t>23794</t>
  </si>
  <si>
    <t>Voyage WB unit, for countertop basin, with doors, 160 cm 2 tap holes Planked sand and Taupe</t>
  </si>
  <si>
    <t>62439</t>
  </si>
  <si>
    <t>Washbasin unit</t>
  </si>
  <si>
    <t>7399</t>
  </si>
  <si>
    <t>7399.00</t>
  </si>
  <si>
    <t>23386</t>
  </si>
  <si>
    <t>Voyage Washbasin unit, with ceramic vanity, with drawers, 130 cm</t>
  </si>
  <si>
    <t>62454</t>
  </si>
  <si>
    <t>8440</t>
  </si>
  <si>
    <t>8440.00</t>
  </si>
  <si>
    <t>18916</t>
  </si>
  <si>
    <t>Memoria Washbasin Unit, with Ceramic Washbasin, 120 cm Left Tap Hole Mocha Oak</t>
  </si>
  <si>
    <t>66712</t>
  </si>
  <si>
    <t>7366</t>
  </si>
  <si>
    <t>7366.00</t>
  </si>
  <si>
    <t>24231</t>
  </si>
  <si>
    <t>Plural WC Seat Matte Mink, soft-closing, gold coloured detachable metal hinge,quick release</t>
  </si>
  <si>
    <t>126-050-019</t>
  </si>
  <si>
    <t>Wc-seats</t>
  </si>
  <si>
    <t>838</t>
  </si>
  <si>
    <t>838.00</t>
  </si>
  <si>
    <t>23450</t>
  </si>
  <si>
    <t>Plural WC Seat Matte Black, soft-closing, Copper coloured detachable metal hinge,quick release</t>
  </si>
  <si>
    <t>126-083-029</t>
  </si>
  <si>
    <t>821</t>
  </si>
  <si>
    <t>821.00</t>
  </si>
  <si>
    <t>23474</t>
  </si>
  <si>
    <t>Sento Slim WC seat, duroplast, soft-closing, metal hinge, top fixing, quick release Matt Stone Grey</t>
  </si>
  <si>
    <t>130-076R009</t>
  </si>
  <si>
    <t>597</t>
  </si>
  <si>
    <t>597.00</t>
  </si>
  <si>
    <t>28920</t>
  </si>
  <si>
    <t>Sento Matte black,soft-closing, metal hinge, top fixing, quick release</t>
  </si>
  <si>
    <t>130-083R009</t>
  </si>
  <si>
    <t>465.00</t>
  </si>
  <si>
    <t>23203</t>
  </si>
  <si>
    <t>Integra Soft-closing, detachable metal hinge, top fixing</t>
  </si>
  <si>
    <t>131-003-019</t>
  </si>
  <si>
    <t>229.00</t>
  </si>
  <si>
    <t>19088</t>
  </si>
  <si>
    <t>Integra Round Universal Slim WC Seat, soft-closing, Quick Release, Matt Black</t>
  </si>
  <si>
    <t>131-083R009</t>
  </si>
  <si>
    <t>415</t>
  </si>
  <si>
    <t>415.00</t>
  </si>
  <si>
    <t>21072</t>
  </si>
  <si>
    <t>Integra Square Slim WC seat, Soft-closing, quick release, Matt White</t>
  </si>
  <si>
    <t>191-001R009</t>
  </si>
  <si>
    <t>479</t>
  </si>
  <si>
    <t>479.00</t>
  </si>
  <si>
    <t>23455</t>
  </si>
  <si>
    <t>Integra Square Slim WC seat, Soft-closing, quick release, Matt Black</t>
  </si>
  <si>
    <t>191-083R009</t>
  </si>
  <si>
    <t>22761</t>
  </si>
  <si>
    <t>Water Jewels Bowl 40 Cm,Terracota-Blue</t>
  </si>
  <si>
    <t>4334B043-0016</t>
  </si>
  <si>
    <t>Washbasin</t>
  </si>
  <si>
    <t>21131</t>
  </si>
  <si>
    <t>Water Jewels Bowl 40 Cm,Black</t>
  </si>
  <si>
    <t>4334B070-0016</t>
  </si>
  <si>
    <t>760.00</t>
  </si>
  <si>
    <t>23219</t>
  </si>
  <si>
    <t>Water Jewels Bowl 40 Cm Plat?nu?m</t>
  </si>
  <si>
    <t>4334B071-0016</t>
  </si>
  <si>
    <t>1111</t>
  </si>
  <si>
    <t>1111.00</t>
  </si>
  <si>
    <t>24118</t>
  </si>
  <si>
    <t>Water Jewels Bowl 40 Cm Platinum Lined</t>
  </si>
  <si>
    <t>4334B071-2300</t>
  </si>
  <si>
    <t>1132</t>
  </si>
  <si>
    <t>1132.00</t>
  </si>
  <si>
    <t>23198</t>
  </si>
  <si>
    <t>Water Jewels Bowl 40 Cm Gold</t>
  </si>
  <si>
    <t>4334B072-0016</t>
  </si>
  <si>
    <t>1563</t>
  </si>
  <si>
    <t>1563.00</t>
  </si>
  <si>
    <t>22776</t>
  </si>
  <si>
    <t>Water Jewels Bowl 40 Cm Gold Lined</t>
  </si>
  <si>
    <t>4334B072-2300</t>
  </si>
  <si>
    <t>1480</t>
  </si>
  <si>
    <t>1480.00</t>
  </si>
  <si>
    <t>22777</t>
  </si>
  <si>
    <t>Water Jewels Bowl 40 Cm Copper</t>
  </si>
  <si>
    <t>4334B073-0016</t>
  </si>
  <si>
    <t>1217</t>
  </si>
  <si>
    <t>1217.00</t>
  </si>
  <si>
    <t>22778</t>
  </si>
  <si>
    <t>Water Jewels Bowl 40 Cm Copper Lined</t>
  </si>
  <si>
    <t>4334B073-2300</t>
  </si>
  <si>
    <t>23197</t>
  </si>
  <si>
    <t>Water Jewels Bowl 40 Cm ,White-Black</t>
  </si>
  <si>
    <t>4334B097-1747</t>
  </si>
  <si>
    <t>24019</t>
  </si>
  <si>
    <t>Water Jewels Bowl Basin 40Cm Gold Vc-0018</t>
  </si>
  <si>
    <t>4334B472-0018</t>
  </si>
  <si>
    <t>1793</t>
  </si>
  <si>
    <t>1793.00</t>
  </si>
  <si>
    <t>24606</t>
  </si>
  <si>
    <t>Water Jewels Bowl Basin 40Cm Copper Vc-0018</t>
  </si>
  <si>
    <t>4334B473-0018</t>
  </si>
  <si>
    <t>1683</t>
  </si>
  <si>
    <t>1683.00</t>
  </si>
  <si>
    <t>20208</t>
  </si>
  <si>
    <t>Water Jewels Square Bowl, 40 Cm,White</t>
  </si>
  <si>
    <t>4441B003-1361</t>
  </si>
  <si>
    <t>Washbasins</t>
  </si>
  <si>
    <t>490.00</t>
  </si>
  <si>
    <t>23920</t>
  </si>
  <si>
    <t>Water Jewels Bowl Plat?n?um 40 Cm</t>
  </si>
  <si>
    <t>4441B071-0016</t>
  </si>
  <si>
    <t>1112</t>
  </si>
  <si>
    <t>1112.00</t>
  </si>
  <si>
    <t>23518</t>
  </si>
  <si>
    <t>Water Jewels Bowl Gold 40 Cm</t>
  </si>
  <si>
    <t>4441B072-0016</t>
  </si>
  <si>
    <t>1532</t>
  </si>
  <si>
    <t>1532.00</t>
  </si>
  <si>
    <t>23519</t>
  </si>
  <si>
    <t>Water Jewels Bowl Copper 40 Cm</t>
  </si>
  <si>
    <t>4441B073-0016</t>
  </si>
  <si>
    <t>1240</t>
  </si>
  <si>
    <t>1240.00</t>
  </si>
  <si>
    <t>23520</t>
  </si>
  <si>
    <t>Water Jewels Square Bowl, 40 Cm, White-Black</t>
  </si>
  <si>
    <t>4441B097-1747</t>
  </si>
  <si>
    <t>1569</t>
  </si>
  <si>
    <t>1569.00</t>
  </si>
  <si>
    <t>19042</t>
  </si>
  <si>
    <t>Water Jewels Rectangular Bowl Gold, 60Cm</t>
  </si>
  <si>
    <t>4442B072-0016</t>
  </si>
  <si>
    <t>1836</t>
  </si>
  <si>
    <t>1836.00</t>
  </si>
  <si>
    <t>22780</t>
  </si>
  <si>
    <t>S50 Washbasin 60Cm White</t>
  </si>
  <si>
    <t>5290B003-0001</t>
  </si>
  <si>
    <t>937</t>
  </si>
  <si>
    <t>937.00</t>
  </si>
  <si>
    <t>20274</t>
  </si>
  <si>
    <t>S50 Washbasin, 55 Cm</t>
  </si>
  <si>
    <t>5301L003-0001</t>
  </si>
  <si>
    <t>224</t>
  </si>
  <si>
    <t>224.00</t>
  </si>
  <si>
    <t>23535</t>
  </si>
  <si>
    <t>S50 Sem?-Recessed Basin, 55 Cm</t>
  </si>
  <si>
    <t>5307B003-0001</t>
  </si>
  <si>
    <t>23982</t>
  </si>
  <si>
    <t>S50 Washbasin, 65 Cm With Tap Hole and Overflow Hole</t>
  </si>
  <si>
    <t>5311B003-0001</t>
  </si>
  <si>
    <t>21167</t>
  </si>
  <si>
    <t>S50 Single Wc Pan, Back-To-Wall, 54 Cm,Horizontal Outlet</t>
  </si>
  <si>
    <t>5323L003-0075</t>
  </si>
  <si>
    <t>928</t>
  </si>
  <si>
    <t>24730</t>
  </si>
  <si>
    <t>S20 Countertop Basin, Round, 48 Cm</t>
  </si>
  <si>
    <t>5467B003-0001</t>
  </si>
  <si>
    <t>24684</t>
  </si>
  <si>
    <t>S20 Under Counter Basin 48cm White</t>
  </si>
  <si>
    <t>5475B003-0618</t>
  </si>
  <si>
    <t>526</t>
  </si>
  <si>
    <t>19979</t>
  </si>
  <si>
    <t>S50 Vanity Basin, 120 Cm</t>
  </si>
  <si>
    <t>5480B003-0001</t>
  </si>
  <si>
    <t>1482</t>
  </si>
  <si>
    <t>1482.00</t>
  </si>
  <si>
    <t>23948</t>
  </si>
  <si>
    <t>S50 Semi-Recessed Basin,55 Cm</t>
  </si>
  <si>
    <t>5598B003-0001</t>
  </si>
  <si>
    <t>358</t>
  </si>
  <si>
    <t>505</t>
  </si>
  <si>
    <t>358.00</t>
  </si>
  <si>
    <t>23944</t>
  </si>
  <si>
    <t>Frame Round Countertop Basin, 39 Cm, Without Tap Hole, Without Overflow Hole, White</t>
  </si>
  <si>
    <t>5651B403-0016</t>
  </si>
  <si>
    <t>1148</t>
  </si>
  <si>
    <t>1148.00</t>
  </si>
  <si>
    <t>20306</t>
  </si>
  <si>
    <t>Frame Square Countertop Basin, 41 Cm, Without Tap Hole, Without Overflow Hole, Matte White</t>
  </si>
  <si>
    <t>5654B401-0016</t>
  </si>
  <si>
    <t>1488</t>
  </si>
  <si>
    <t>1488.00</t>
  </si>
  <si>
    <t>18763</t>
  </si>
  <si>
    <t>Frame Square Countertop Basin, 41 Cm, Without Tap Hole, Without Overflow Hole, Black</t>
  </si>
  <si>
    <t>5654B470-0016</t>
  </si>
  <si>
    <t>1219</t>
  </si>
  <si>
    <t>1219.00</t>
  </si>
  <si>
    <t>23568</t>
  </si>
  <si>
    <t>Frame Square Countertop Basin, 41 Cm, Without Tap Hole, Without Overflow Hole, Matte Black</t>
  </si>
  <si>
    <t>5654B483-0016</t>
  </si>
  <si>
    <t>1729</t>
  </si>
  <si>
    <t>1729.00</t>
  </si>
  <si>
    <t>20309</t>
  </si>
  <si>
    <t>Metropole Washbasin, 80 Cm, One Tap Hole, With Overflow Hole</t>
  </si>
  <si>
    <t>5663B003-0001</t>
  </si>
  <si>
    <t>652</t>
  </si>
  <si>
    <t>652.00</t>
  </si>
  <si>
    <t>23569</t>
  </si>
  <si>
    <t>Metropole Square Bowl, 40 Cm, Without Taphole, With Overflow Hole</t>
  </si>
  <si>
    <t>5666B003-0012</t>
  </si>
  <si>
    <t>608</t>
  </si>
  <si>
    <t>608.00</t>
  </si>
  <si>
    <t>23570</t>
  </si>
  <si>
    <t>Metropole Rectangular Bowl, 60 Cm, Without Taphole, With Overflow Hole</t>
  </si>
  <si>
    <t>5668B003-0012</t>
  </si>
  <si>
    <t>24042</t>
  </si>
  <si>
    <t>Metropole Rectangular Undercounter Basin, 57 Cm, Without Tap Hole, With Overflow Hole</t>
  </si>
  <si>
    <t>5668B003-1082</t>
  </si>
  <si>
    <t>644</t>
  </si>
  <si>
    <t>644.00</t>
  </si>
  <si>
    <t>23928</t>
  </si>
  <si>
    <t>Metropole Rectangular Undercounter Basin, 77 Cm, Without Tap Hole, With Overflow Hole</t>
  </si>
  <si>
    <t>5669B003-1082</t>
  </si>
  <si>
    <t>816</t>
  </si>
  <si>
    <t>816.00</t>
  </si>
  <si>
    <t>23434</t>
  </si>
  <si>
    <t>Metropole Monoblock Basin, 50 Cm</t>
  </si>
  <si>
    <t>5670B003-0016</t>
  </si>
  <si>
    <t>4782</t>
  </si>
  <si>
    <t>4782.00</t>
  </si>
  <si>
    <t>23573</t>
  </si>
  <si>
    <t>Metropole Semi-Recessed Basin, 60 Cm</t>
  </si>
  <si>
    <t>5679B003-0001</t>
  </si>
  <si>
    <t>21859</t>
  </si>
  <si>
    <t>Outline Mondo Wall-Hung Wc Pan 345</t>
  </si>
  <si>
    <t>5693B403-0101</t>
  </si>
  <si>
    <t>1118</t>
  </si>
  <si>
    <t>1118.00</t>
  </si>
  <si>
    <t>23417</t>
  </si>
  <si>
    <t>Memoria Round Bowl, 50 Cm, Matte White</t>
  </si>
  <si>
    <t>5880B401-0041</t>
  </si>
  <si>
    <t>3020</t>
  </si>
  <si>
    <t>3020.00</t>
  </si>
  <si>
    <t>22811</t>
  </si>
  <si>
    <t>Memoria Round Bowl, 50 Cm, White</t>
  </si>
  <si>
    <t>5880B403-0041</t>
  </si>
  <si>
    <t>2507</t>
  </si>
  <si>
    <t>2507.00</t>
  </si>
  <si>
    <t>22812</t>
  </si>
  <si>
    <t>Memoria Round Bowl, 50 Cm, Matte Black</t>
  </si>
  <si>
    <t>5880B483-0041</t>
  </si>
  <si>
    <t>3357</t>
  </si>
  <si>
    <t>3357.00</t>
  </si>
  <si>
    <t>22814</t>
  </si>
  <si>
    <t>Memoria Oval Bowl, 75 Cm, Matte White</t>
  </si>
  <si>
    <t>5881B401-0041</t>
  </si>
  <si>
    <t>3572</t>
  </si>
  <si>
    <t>3572.00</t>
  </si>
  <si>
    <t>22815</t>
  </si>
  <si>
    <t>Memoria Oval Bowl, 75 Cm, White</t>
  </si>
  <si>
    <t>5881B403-0041</t>
  </si>
  <si>
    <t>2897</t>
  </si>
  <si>
    <t>2897.00</t>
  </si>
  <si>
    <t>23330</t>
  </si>
  <si>
    <t>Memoria Oval Bowl, 75 Cm, Matte Taupe</t>
  </si>
  <si>
    <t>5881B420-0041</t>
  </si>
  <si>
    <t>3399</t>
  </si>
  <si>
    <t>3399.00</t>
  </si>
  <si>
    <t>22729</t>
  </si>
  <si>
    <t>Memoria Oval Bowl, 75 Cm, Matte Black</t>
  </si>
  <si>
    <t>5881B483-0041</t>
  </si>
  <si>
    <t>3816</t>
  </si>
  <si>
    <t>3816.00</t>
  </si>
  <si>
    <t>22816</t>
  </si>
  <si>
    <t>Memoria W-Hung WC Pan -M.White</t>
  </si>
  <si>
    <t>5884B401-0075</t>
  </si>
  <si>
    <t>3263</t>
  </si>
  <si>
    <t>3263.00</t>
  </si>
  <si>
    <t>20334</t>
  </si>
  <si>
    <t>Metropole Round Bowl, 45 Cm, Without Tap Hole, With Overflow Hole</t>
  </si>
  <si>
    <t>5940B003-0012</t>
  </si>
  <si>
    <t>22670</t>
  </si>
  <si>
    <t>Metropole Round Undercounter Basin, 42 Cm, Without Tap Hole, With Overflow Hole</t>
  </si>
  <si>
    <t>5940B003-1082</t>
  </si>
  <si>
    <t>575.00</t>
  </si>
  <si>
    <t>23600</t>
  </si>
  <si>
    <t>Metropole Round Bowl, 45 Cm, With Tap Hole, With Overflow Hole</t>
  </si>
  <si>
    <t>5941B003-0001</t>
  </si>
  <si>
    <t>634.00</t>
  </si>
  <si>
    <t>21191</t>
  </si>
  <si>
    <t>Metropole Oval Bowl, 60 Cm, Without Tap Hole, With Overflow Hole</t>
  </si>
  <si>
    <t>5942B003-0012</t>
  </si>
  <si>
    <t>23399</t>
  </si>
  <si>
    <t>Metropole Oval Undercounter Basin, 57 Cm, Without Tap Hole, With Overflow Hole</t>
  </si>
  <si>
    <t>5942B003-1082</t>
  </si>
  <si>
    <t>659</t>
  </si>
  <si>
    <t>659.00</t>
  </si>
  <si>
    <t>23921</t>
  </si>
  <si>
    <t>Metropole Oval Bowl, 60 Cm, With Tap Hole, With Overflow Hole</t>
  </si>
  <si>
    <t>5943B003-0001</t>
  </si>
  <si>
    <t>726</t>
  </si>
  <si>
    <t>726.00</t>
  </si>
  <si>
    <t>23983</t>
  </si>
  <si>
    <t>Metropole Oval Bowl, 60 Cm, With Tap Hole, Without Overflow Hole</t>
  </si>
  <si>
    <t>5943B003-0041</t>
  </si>
  <si>
    <t>19189</t>
  </si>
  <si>
    <t>S20 Undercounter Basin 57Cm White</t>
  </si>
  <si>
    <t>6031B003-0012</t>
  </si>
  <si>
    <t>58</t>
  </si>
  <si>
    <t>23604</t>
  </si>
  <si>
    <t>Voyage Washbasin, with vanity area, 54 cm, left side With tap hole, without overflow hole</t>
  </si>
  <si>
    <t>7222B403-0041</t>
  </si>
  <si>
    <t>1726</t>
  </si>
  <si>
    <t>1726.00</t>
  </si>
  <si>
    <t>24402</t>
  </si>
  <si>
    <t>Voyage Washbasin, with vanity area, 54 cm, Right side With tap hole, without overflow hole</t>
  </si>
  <si>
    <t>7223B403-0041</t>
  </si>
  <si>
    <t>23391</t>
  </si>
  <si>
    <t>Voyage Countertop basin, 38 cm, without tap hole, without overflow hole</t>
  </si>
  <si>
    <t>7229B403-0016</t>
  </si>
  <si>
    <t>1749</t>
  </si>
  <si>
    <t>1749.00</t>
  </si>
  <si>
    <t>23618</t>
  </si>
  <si>
    <t>Geo Oval bowl, 55 cm One tap hole, with overflow hole</t>
  </si>
  <si>
    <t>7428B003-0001</t>
  </si>
  <si>
    <t>Height: 430 mm Width : 545 mm Depth : 170 mm</t>
  </si>
  <si>
    <t>Frame Rim-Ex Wc Pan, 54 Cm</t>
  </si>
  <si>
    <t>7743B403-0075</t>
  </si>
  <si>
    <t>Wcs</t>
  </si>
  <si>
    <t>Height: 340 mm Width : 345 mm Depth : 540 mm</t>
  </si>
  <si>
    <t>1613</t>
  </si>
  <si>
    <t>7743B403-0101</t>
  </si>
  <si>
    <t>1464</t>
  </si>
  <si>
    <t>Valarte Vanity Basin, Three Tap Holes, Overflow Hole, 100 Cm, With Metallic Legs</t>
  </si>
  <si>
    <t>7803B003-6176</t>
  </si>
  <si>
    <t>Height: 215 mm Width : 995 mm Depth : 530 mm</t>
  </si>
  <si>
    <t>2098</t>
  </si>
  <si>
    <t>Plural Rim-ex wall-hung WC pan, hidden fixation, 55 cm, Universal outlet, Matte Mink</t>
  </si>
  <si>
    <t>7830B450-0075</t>
  </si>
  <si>
    <t>2651</t>
  </si>
  <si>
    <t>2651.00</t>
  </si>
  <si>
    <t>23664</t>
  </si>
  <si>
    <t>Metropole Wc-Seat, Soft Closing</t>
  </si>
  <si>
    <t>90-003-009</t>
  </si>
  <si>
    <t>Width : 350 mm Depth : 435 mm</t>
  </si>
  <si>
    <t>Frame Wc Seat, Duroplast, Soft-Closing, Detachable Metal Hinge, Top Fixing, Matte White</t>
  </si>
  <si>
    <t>96-001-009</t>
  </si>
  <si>
    <t>362</t>
  </si>
  <si>
    <t>362.00</t>
  </si>
  <si>
    <t>20421</t>
  </si>
  <si>
    <t>Çınar Soft Closing Plastic Seat Cover</t>
  </si>
  <si>
    <t>KC0703.02.0000E</t>
  </si>
  <si>
    <t>24674</t>
  </si>
  <si>
    <t>Duck Soft Closing Seat &amp; Cover</t>
  </si>
  <si>
    <t>KC0903.02.0000E</t>
  </si>
  <si>
    <t>24087</t>
  </si>
  <si>
    <t>Mare Duroplast Soft Closing Seat &amp; Cover</t>
  </si>
  <si>
    <t>KC1703.02.0000E</t>
  </si>
  <si>
    <t>208</t>
  </si>
  <si>
    <t>106</t>
  </si>
  <si>
    <t>208.00</t>
  </si>
  <si>
    <t>21855</t>
  </si>
  <si>
    <t>Lara Back To Wall Pan Ext. Wht.</t>
  </si>
  <si>
    <t>LR360-11CB00E-0000</t>
  </si>
  <si>
    <t>23815</t>
  </si>
  <si>
    <t>Lara Cistern (Lid+Cistern)Ext. Wht.</t>
  </si>
  <si>
    <t>LR410-00CB00E-0000</t>
  </si>
  <si>
    <t>1436</t>
  </si>
  <si>
    <t>24673</t>
  </si>
  <si>
    <t>Memoria Square Bowl, 40 Cm</t>
  </si>
  <si>
    <t>M58000004000</t>
  </si>
  <si>
    <t>1869</t>
  </si>
  <si>
    <t>1869.00</t>
  </si>
  <si>
    <t>24632</t>
  </si>
  <si>
    <t>Memoria Round Bowl, 40 Cm Infinit White siphon cover is included</t>
  </si>
  <si>
    <t>M58000005000</t>
  </si>
  <si>
    <t>1862</t>
  </si>
  <si>
    <t>1862.00</t>
  </si>
  <si>
    <t>23196</t>
  </si>
  <si>
    <t>Mare Rim-Off Back to Wall Pan</t>
  </si>
  <si>
    <t>MA361-11CB00E-0000</t>
  </si>
  <si>
    <t>23990</t>
  </si>
  <si>
    <t>Sedef 55 cm Washbasin Ext.Wht.</t>
  </si>
  <si>
    <t>SD055-00CB00E-0000</t>
  </si>
  <si>
    <t>1733</t>
  </si>
  <si>
    <t>106.00</t>
  </si>
  <si>
    <t>24676</t>
  </si>
  <si>
    <t>Sedef S Trap Pan Ext. Wht.</t>
  </si>
  <si>
    <t>SD300-11CB00E-0000</t>
  </si>
  <si>
    <t>223</t>
  </si>
  <si>
    <t>1452</t>
  </si>
  <si>
    <t>223.00</t>
  </si>
  <si>
    <t>24672</t>
  </si>
  <si>
    <t>Juno Classic Basin Mixer Chrome</t>
  </si>
  <si>
    <t>4168223EXP</t>
  </si>
  <si>
    <t>Basin mixers</t>
  </si>
  <si>
    <t>520</t>
  </si>
  <si>
    <t>520.00</t>
  </si>
  <si>
    <t>21119</t>
  </si>
  <si>
    <t>Q-Line Basin Mixer</t>
  </si>
  <si>
    <t>A40775EXP</t>
  </si>
  <si>
    <t>361</t>
  </si>
  <si>
    <t>23442</t>
  </si>
  <si>
    <t>A40776EXP</t>
  </si>
  <si>
    <t>Height: 159 mm Depth : 63 mm</t>
  </si>
  <si>
    <t>367</t>
  </si>
  <si>
    <t>367.00</t>
  </si>
  <si>
    <t>A40798EXP</t>
  </si>
  <si>
    <t>Height: 312 mm Spout height :241 mm</t>
  </si>
  <si>
    <t>482</t>
  </si>
  <si>
    <t>143</t>
  </si>
  <si>
    <t>482.00</t>
  </si>
  <si>
    <t>Juno Built-In Basin Mixer</t>
  </si>
  <si>
    <t>A4083023EXP</t>
  </si>
  <si>
    <t>448.00</t>
  </si>
  <si>
    <t>22889</t>
  </si>
  <si>
    <t>A40830EXP</t>
  </si>
  <si>
    <t>22891</t>
  </si>
  <si>
    <t>Juno/Origin Built-In Basin Mixer (concealed part)</t>
  </si>
  <si>
    <t>A40835</t>
  </si>
  <si>
    <t>Height: 70 mm Width : 90 mm Depth : 230 mm</t>
  </si>
  <si>
    <t>Juno Basin Mixer</t>
  </si>
  <si>
    <t>A4085123EXP</t>
  </si>
  <si>
    <t>Height: 345 mm Spout height :260 mm</t>
  </si>
  <si>
    <t>796</t>
  </si>
  <si>
    <t>796.00</t>
  </si>
  <si>
    <t>A4085126EXP</t>
  </si>
  <si>
    <t>A40851EXP</t>
  </si>
  <si>
    <t>754</t>
  </si>
  <si>
    <t>754.00</t>
  </si>
  <si>
    <t>23267</t>
  </si>
  <si>
    <t>618</t>
  </si>
  <si>
    <t>618.00</t>
  </si>
  <si>
    <t>22895</t>
  </si>
  <si>
    <t>Juno Basin Mixer 3Hole deck mounted Gold</t>
  </si>
  <si>
    <t>A4086123EXP</t>
  </si>
  <si>
    <t>874</t>
  </si>
  <si>
    <t>874.00</t>
  </si>
  <si>
    <t>22896</t>
  </si>
  <si>
    <t>A4086126EXP</t>
  </si>
  <si>
    <t>713</t>
  </si>
  <si>
    <t>713.00</t>
  </si>
  <si>
    <t>22897</t>
  </si>
  <si>
    <t>A40861EXP</t>
  </si>
  <si>
    <t>592</t>
  </si>
  <si>
    <t>592.00</t>
  </si>
  <si>
    <t>22898</t>
  </si>
  <si>
    <t>A4086223EXP</t>
  </si>
  <si>
    <t>586</t>
  </si>
  <si>
    <t>586.00</t>
  </si>
  <si>
    <t>22899</t>
  </si>
  <si>
    <t>A4086226EXP</t>
  </si>
  <si>
    <t>21335</t>
  </si>
  <si>
    <t>A40862EXP</t>
  </si>
  <si>
    <t>Spaut height: 150 mm Spout depth :115 mm</t>
  </si>
  <si>
    <t>A4087623EXP</t>
  </si>
  <si>
    <t>Height: 232 mm Spout height :150 mm</t>
  </si>
  <si>
    <t>698</t>
  </si>
  <si>
    <t>698.00</t>
  </si>
  <si>
    <t>Juno Classic Basin Mixer</t>
  </si>
  <si>
    <t>A41681EXP</t>
  </si>
  <si>
    <t>Height: 265 mm Width : 205 mm Depth : 145 mm</t>
  </si>
  <si>
    <t>850.00</t>
  </si>
  <si>
    <t>Istanbul Built In Basin Mixer - 4180499</t>
  </si>
  <si>
    <t>A4180499EXP</t>
  </si>
  <si>
    <t>1985</t>
  </si>
  <si>
    <t>1985.00</t>
  </si>
  <si>
    <t>21401</t>
  </si>
  <si>
    <t>Istanbul Built-In Basin Mixer</t>
  </si>
  <si>
    <t>A41808EXP</t>
  </si>
  <si>
    <t>Height: 95 mm Width : 260 mm Depth : 240 mm</t>
  </si>
  <si>
    <t>1557</t>
  </si>
  <si>
    <t>1557.00</t>
  </si>
  <si>
    <t>A41826EXP</t>
  </si>
  <si>
    <t>Height: 148 mm Width : 181 mm Depth : 89 mm</t>
  </si>
  <si>
    <t>1134</t>
  </si>
  <si>
    <t>1134.00</t>
  </si>
  <si>
    <t>Istanbul Joystick Basin Mixer</t>
  </si>
  <si>
    <t>A4186323EXP</t>
  </si>
  <si>
    <t>Height: 355 mm Width : 48 mm Depth : 180 mm</t>
  </si>
  <si>
    <t>2640</t>
  </si>
  <si>
    <t>2640.00</t>
  </si>
  <si>
    <t>Flo S Basin Mixer</t>
  </si>
  <si>
    <t>A41939EXP</t>
  </si>
  <si>
    <t>Height: 264 mm Width : 110 mm Depth : 190 mm</t>
  </si>
  <si>
    <t>484</t>
  </si>
  <si>
    <t>484.00</t>
  </si>
  <si>
    <t>A41941EXP</t>
  </si>
  <si>
    <t>Height: 156 mm Width : 63 mm Depth : 125 mm</t>
  </si>
  <si>
    <t>401</t>
  </si>
  <si>
    <t>401.00</t>
  </si>
  <si>
    <t>A4231458EXP</t>
  </si>
  <si>
    <t>1556</t>
  </si>
  <si>
    <t>1556.00</t>
  </si>
  <si>
    <t>23361</t>
  </si>
  <si>
    <t>X-Line Basin Mixer for Bowl Gold</t>
  </si>
  <si>
    <t>A4232223EXP</t>
  </si>
  <si>
    <t>23397</t>
  </si>
  <si>
    <t>X-Line Basin Mixer</t>
  </si>
  <si>
    <t>A4240223EXP</t>
  </si>
  <si>
    <t>22743</t>
  </si>
  <si>
    <t>T4 Bath/Shower Mixer</t>
  </si>
  <si>
    <t>A42451EXP</t>
  </si>
  <si>
    <t>702</t>
  </si>
  <si>
    <t>443</t>
  </si>
  <si>
    <t>702.00</t>
  </si>
  <si>
    <t>21499</t>
  </si>
  <si>
    <t>Suit L Basin Mixer</t>
  </si>
  <si>
    <t>A42466EXP</t>
  </si>
  <si>
    <t>530</t>
  </si>
  <si>
    <t>530.00</t>
  </si>
  <si>
    <t>19158</t>
  </si>
  <si>
    <t>Suit U Basin Mixer</t>
  </si>
  <si>
    <t>A4246723EXP</t>
  </si>
  <si>
    <t>654</t>
  </si>
  <si>
    <t>654.00</t>
  </si>
  <si>
    <t>23454</t>
  </si>
  <si>
    <t>A4246726EXP</t>
  </si>
  <si>
    <t>24077</t>
  </si>
  <si>
    <t>A42467EXP</t>
  </si>
  <si>
    <t>23887</t>
  </si>
  <si>
    <t>A4248023EXP</t>
  </si>
  <si>
    <t>Height: 191 mm Width : 97 mm Depth : 131 mm</t>
  </si>
  <si>
    <t>756</t>
  </si>
  <si>
    <t>755.77</t>
  </si>
  <si>
    <t>A42481EXP</t>
  </si>
  <si>
    <t>Height: 201 mm Width : 97 mm Depth : 110 mm</t>
  </si>
  <si>
    <t>595.73</t>
  </si>
  <si>
    <t>A4248126EXP</t>
  </si>
  <si>
    <t>A42483EXP</t>
  </si>
  <si>
    <t>768.35</t>
  </si>
  <si>
    <t>A4248323EXP</t>
  </si>
  <si>
    <t>Suit L Built-In Basin Mixer</t>
  </si>
  <si>
    <t>A42486EXP</t>
  </si>
  <si>
    <t>Height: 128 mm Width : 200 mm Depth : 186 mm</t>
  </si>
  <si>
    <t>669</t>
  </si>
  <si>
    <t>669.03</t>
  </si>
  <si>
    <t>A4248623EXP</t>
  </si>
  <si>
    <t>A42504EXP</t>
  </si>
  <si>
    <t>Height: 109 mm Width : 600 mm Depth : 125 mm</t>
  </si>
  <si>
    <t>460.41</t>
  </si>
  <si>
    <t>A42507EXP</t>
  </si>
  <si>
    <t>Height: 122 mm Width : 600 mm Depth : 132 mm</t>
  </si>
  <si>
    <t>457</t>
  </si>
  <si>
    <t>457.25</t>
  </si>
  <si>
    <t>Flo S Basin mixer (large) - Gold</t>
  </si>
  <si>
    <t>A4259323EXP</t>
  </si>
  <si>
    <t>Height: 191 mm Width : 46 mm Depth : 163 mm</t>
  </si>
  <si>
    <t>435.39</t>
  </si>
  <si>
    <t>A42593EXP</t>
  </si>
  <si>
    <t>Flash Deal on Product</t>
  </si>
  <si>
    <t>134234</t>
  </si>
  <si>
    <t xml:space="preserve">Flash Deal on Product
</t>
  </si>
  <si>
    <t>Red</t>
  </si>
  <si>
    <t>Select Control Panel - Black With Gold Buttons (Glass)</t>
  </si>
  <si>
    <t>740-1105</t>
  </si>
  <si>
    <t>Height: 165 mm Width : 244 mm Depth : 11,5 mm</t>
  </si>
  <si>
    <t>387</t>
  </si>
  <si>
    <t>Glossy black</t>
  </si>
  <si>
    <t>Built-In Stop Valve</t>
  </si>
  <si>
    <t>A41442</t>
  </si>
  <si>
    <t>Height: 126 mm Width : 61 mm</t>
  </si>
  <si>
    <t>Height: 150 mm Width : 180 mm Depth : 160 mm</t>
  </si>
  <si>
    <t>Flo S Sink Mixer</t>
  </si>
  <si>
    <t>A42103EXP</t>
  </si>
  <si>
    <t>Sink mixers</t>
  </si>
  <si>
    <t>Height: 362 mm Width :110 mm Depth : 268 mm</t>
  </si>
  <si>
    <t>402</t>
  </si>
  <si>
    <t>X-Line Sink Mixer Gold</t>
  </si>
  <si>
    <t>A4211523EXP</t>
  </si>
  <si>
    <t xml:space="preserve">Height: 393 mm Width :111 mm Depth : 242 mm
</t>
  </si>
  <si>
    <t>498</t>
  </si>
  <si>
    <t>undefined</t>
  </si>
  <si>
    <t>Q-Line Sink Mixer</t>
  </si>
  <si>
    <t>A42135EXP</t>
  </si>
  <si>
    <t>Height: 287 mm Width :95 mm Depth : 271 mm</t>
  </si>
  <si>
    <t>514</t>
  </si>
  <si>
    <t>Masterline Maestro Pull-Down Sink Mixer</t>
  </si>
  <si>
    <t>A42145EXP</t>
  </si>
  <si>
    <t>Height: 404 mm Width :105 mm Depth : 215 mm</t>
  </si>
  <si>
    <t>Idealine Verona Sink Mixer</t>
  </si>
  <si>
    <t>A4215433EXP</t>
  </si>
  <si>
    <t>Height: 346 mm Width :125 mm Depth : 265 mm</t>
  </si>
  <si>
    <t>A42251EXP</t>
  </si>
  <si>
    <t>Height: 215 mm Width :170 mm Depth : 88 mm .................. Concealed Part A41949 Must Be Installed During Wall Application Concealed Part Is Not Included, Should Ordered Separately</t>
  </si>
  <si>
    <t>202</t>
  </si>
  <si>
    <t>Memoria Built-In Shower Mixer</t>
  </si>
  <si>
    <t>A42283EXP</t>
  </si>
  <si>
    <t>Height: 142 mm Width : 120 mm Depth : 106 mm</t>
  </si>
  <si>
    <t>Memoria Built-In Bath/Shower Mixer</t>
  </si>
  <si>
    <t>A42284EXP</t>
  </si>
  <si>
    <t>Height: 198 mm Width : 120 mm Depth : 111 mm</t>
  </si>
  <si>
    <t>A42304EXP</t>
  </si>
  <si>
    <t>Height: 196 mm Depth : 248 mm</t>
  </si>
  <si>
    <t>1191</t>
  </si>
  <si>
    <t>Nest Trendy Basin Mixer</t>
  </si>
  <si>
    <t>A42309EXP</t>
  </si>
  <si>
    <t>Height: 345 mm Spout height :190 mm</t>
  </si>
  <si>
    <t>963</t>
  </si>
  <si>
    <t>A4232123EXP</t>
  </si>
  <si>
    <t>Height: 155 mm Spout height :127 mm</t>
  </si>
  <si>
    <t>384</t>
  </si>
  <si>
    <t>A4232423EXP</t>
  </si>
  <si>
    <t>Height: 78 mm Spout height :174 mm</t>
  </si>
  <si>
    <t>627</t>
  </si>
  <si>
    <t>A42324EXP</t>
  </si>
  <si>
    <t>Height: 279 mm Width : 111 mm</t>
  </si>
  <si>
    <t>Height: 167 mm Width : 183 mm Depth : 209 mm</t>
  </si>
  <si>
    <t>Height: 191 mm Width : 97 mm Depth : 170 mm</t>
  </si>
  <si>
    <t>Height: 90 mm Width : 320 mm Depth : 60 mm</t>
  </si>
  <si>
    <t>Shower heads</t>
  </si>
  <si>
    <t>Height: 229 mm Width : 300 mm Depth : 300 mm</t>
  </si>
  <si>
    <t>Height: 417 mm Width : 187 mm</t>
  </si>
  <si>
    <t>Artemis</t>
  </si>
  <si>
    <t>Height: 438 mm Width : 1680 mm Depth : 795 mm</t>
  </si>
  <si>
    <t>Origin Connection pipe (90 Degrees) - Gold</t>
  </si>
  <si>
    <t>A4263123</t>
  </si>
  <si>
    <t>Height: 75 mm Width : 58 mm Depth : 89 mm</t>
  </si>
  <si>
    <t>Height: 170 mm Width : 170 mm Depth : 90 mm</t>
  </si>
  <si>
    <t>Height: 77 mm Depth : 80 mm</t>
  </si>
  <si>
    <t>Height: 80 mm Depth : 175 mm</t>
  </si>
  <si>
    <t>Height: 100 mm Depth : 170 mm</t>
  </si>
  <si>
    <t>A44052</t>
  </si>
  <si>
    <t>Height: 55 mm Width : 260 mm Depth : 132 mm</t>
  </si>
  <si>
    <t>Height: 35 mm Width : 90 mm Depth : 51 mm</t>
  </si>
  <si>
    <t>Height: 210 mm Width : 668 mm Depth : 214 mm</t>
  </si>
  <si>
    <t>Height: 52 mm Width : 194 mm Depth : 103 mm</t>
  </si>
  <si>
    <t>Height: 85 mm Width : 300 mm Depth : 85 mm</t>
  </si>
  <si>
    <t>Height: 367 mm Width : 87 mm Depth : 245 mm</t>
  </si>
  <si>
    <t>Ilia Liquid Soap Dispenser</t>
  </si>
  <si>
    <t>A44332</t>
  </si>
  <si>
    <t>Height: 120 mm Width : 137 mm Depth : 120 mm</t>
  </si>
  <si>
    <t>Width : 610 mm Depth : 215 mm</t>
  </si>
  <si>
    <t>Width : 570 mm Depth : 252 mm</t>
  </si>
  <si>
    <t>Height: 120 mm Width : 100 mm Depth : 135 mm</t>
  </si>
  <si>
    <t>Ilia Wc Brush Holder</t>
  </si>
  <si>
    <t>A44384</t>
  </si>
  <si>
    <t>Height: 365 mm Width : 85 mm Depth : 130 mm</t>
  </si>
  <si>
    <t>Ilia Soap Dish</t>
  </si>
  <si>
    <t>A44385</t>
  </si>
  <si>
    <t>Height: 30 mm Width : 145 mm Depth : 110 mm</t>
  </si>
  <si>
    <t>127</t>
  </si>
  <si>
    <t>Ilia Bathrobe Holder - Double</t>
  </si>
  <si>
    <t>A44391</t>
  </si>
  <si>
    <t>Height: 55 mm Width : 58 mm Depth : 70 mm</t>
  </si>
  <si>
    <t>91</t>
  </si>
  <si>
    <t>Ilia Towel Holder</t>
  </si>
  <si>
    <t>A44392</t>
  </si>
  <si>
    <t>Height: 52 mm Width : 460 mm</t>
  </si>
  <si>
    <t>215</t>
  </si>
  <si>
    <t>Ilia Towel Ring</t>
  </si>
  <si>
    <t>A44394</t>
  </si>
  <si>
    <t>Height: 210 mm Width : 190 mm Depth : 70 mm</t>
  </si>
  <si>
    <t>Ilia Reserve Roll Holder</t>
  </si>
  <si>
    <t>A44399</t>
  </si>
  <si>
    <t>Height: 180 mm Width : 52 mm Depth : 70 mm</t>
  </si>
  <si>
    <t>Arkitekta Built-In Roll Holder - Single</t>
  </si>
  <si>
    <t>A44415</t>
  </si>
  <si>
    <t>Height: 162 mm Width : 152 mm Depth : 73 mm</t>
  </si>
  <si>
    <t>Arkitekta Built-In Roll Holder - Double</t>
  </si>
  <si>
    <t>A44416</t>
  </si>
  <si>
    <t xml:space="preserve">Height: 155 mm Width : 295 mm Depth : 65 mm
</t>
  </si>
  <si>
    <t>257</t>
  </si>
  <si>
    <t>Diagon Bathrobe Holder - Double</t>
  </si>
  <si>
    <t>A44430</t>
  </si>
  <si>
    <t>Height: 70 mm Width : 90 mm Depth : 60 mm</t>
  </si>
  <si>
    <t>Diagon Towel Holder</t>
  </si>
  <si>
    <t>A44432</t>
  </si>
  <si>
    <t>Height: 70 mm Width : 450 mm Depth : 70 mm</t>
  </si>
  <si>
    <t>Diagon Towel Ring</t>
  </si>
  <si>
    <t>A44434</t>
  </si>
  <si>
    <t>Height: 270 mm Width : 215 mm Depth : 70 mm</t>
  </si>
  <si>
    <t>Diagon Roll Holder - Single</t>
  </si>
  <si>
    <t>A44435</t>
  </si>
  <si>
    <t>Height: 70 mm Width : 150 mm Depth : 70 mm</t>
  </si>
  <si>
    <t>Diagon Wc Brush Holder</t>
  </si>
  <si>
    <t>A44437</t>
  </si>
  <si>
    <t>Height: 355 mm Width : 115 mm Depth : 115 mm</t>
  </si>
  <si>
    <t>Diagon Shelf + Roll Holder</t>
  </si>
  <si>
    <t>A44442</t>
  </si>
  <si>
    <t>Height: 80 mm Width : 150 mm Depth : 125 mm</t>
  </si>
  <si>
    <t>174</t>
  </si>
  <si>
    <t>Somnia Towel Ring</t>
  </si>
  <si>
    <t>A44491</t>
  </si>
  <si>
    <t>Height: 160 mm Width : 155 mm Depth : 76 mm</t>
  </si>
  <si>
    <t>191</t>
  </si>
  <si>
    <t>A44492</t>
  </si>
  <si>
    <t>Height: 80 mm Width : 500 mm Depth : 55 mm</t>
  </si>
  <si>
    <t>Somnia Wc Brush Holder</t>
  </si>
  <si>
    <t>A44494</t>
  </si>
  <si>
    <t>Height: 394 mm Width : 100 mm Depth : 74 mm</t>
  </si>
  <si>
    <t>Somnia Roll Holder (With Cover)</t>
  </si>
  <si>
    <t>A44496</t>
  </si>
  <si>
    <t>Height: 120 mm Width : 155 mm Depth : 115 mm</t>
  </si>
  <si>
    <t>Somnia Toothbrush Holder</t>
  </si>
  <si>
    <t>A44497</t>
  </si>
  <si>
    <t>Height: 100 mm Width : 100 mm Depth : 115 mm</t>
  </si>
  <si>
    <t>178</t>
  </si>
  <si>
    <t>Somnia Soap Dish</t>
  </si>
  <si>
    <t>A44498</t>
  </si>
  <si>
    <t>Height: 80 mm Width : 100 mm Depth : 125 mm</t>
  </si>
  <si>
    <t>Somnia Liquid Soap Dispenser</t>
  </si>
  <si>
    <t>A44499</t>
  </si>
  <si>
    <t>Height: 182 mm Width : 101 mm Depth : 110 mm</t>
  </si>
  <si>
    <t>Somnia Bathrobe Holder - Double</t>
  </si>
  <si>
    <t>A44500</t>
  </si>
  <si>
    <t>Height: 81 mm Width : 101 mm Depth : 31 mm</t>
  </si>
  <si>
    <t>160</t>
  </si>
  <si>
    <t>Matrix Toothbrush Holder</t>
  </si>
  <si>
    <t>A44572</t>
  </si>
  <si>
    <t>Height: 118 mm Width : 83 mm Depth : 133 mm</t>
  </si>
  <si>
    <t>A44575</t>
  </si>
  <si>
    <t>Height: 120 mm Width : 85 mm Depth : 135 mm</t>
  </si>
  <si>
    <t>Matrix Towel Ring</t>
  </si>
  <si>
    <t>A44577</t>
  </si>
  <si>
    <t>Height: 140 mm Width : 220 mm Depth : 75 mm</t>
  </si>
  <si>
    <t>195</t>
  </si>
  <si>
    <t>Matrix Towel Holder</t>
  </si>
  <si>
    <t>A44578</t>
  </si>
  <si>
    <t>Height: 50 mm Width : 450 mm Depth : 75 mm</t>
  </si>
  <si>
    <t>Matrix Towel Holder - Double</t>
  </si>
  <si>
    <t>A44579</t>
  </si>
  <si>
    <t>Height: 83 mm Width : 314 mm Depth : 50 mm</t>
  </si>
  <si>
    <t>277</t>
  </si>
  <si>
    <t>Matrix Bathrobe Holder - Double</t>
  </si>
  <si>
    <t>A44584</t>
  </si>
  <si>
    <t>Height: 50 mm Width : 110 mm Depth : 75 mm</t>
  </si>
  <si>
    <t>122</t>
  </si>
  <si>
    <t>Voyage WC brush holder, taupe, Copper</t>
  </si>
  <si>
    <t>A4479255</t>
  </si>
  <si>
    <t>Height: 420 mm Width : 144 mm Depth : 148 mm</t>
  </si>
  <si>
    <t>1184</t>
  </si>
  <si>
    <t>Juno Classic Soap Dish-Chrome</t>
  </si>
  <si>
    <t>A44418</t>
  </si>
  <si>
    <t>Height: 52 mm Width : 98 mm Depth : 90 mm</t>
  </si>
  <si>
    <t>252</t>
  </si>
  <si>
    <t>A4441823</t>
  </si>
  <si>
    <t>A4441826</t>
  </si>
  <si>
    <t>Height: 87 mm Width : 100 mm Depth : 137 mm</t>
  </si>
  <si>
    <t>Juno Classic Towel Ring-Chrome</t>
  </si>
  <si>
    <t>A44420</t>
  </si>
  <si>
    <t>Height: 196 mm Width : 203 mm Depth : 62 mm</t>
  </si>
  <si>
    <t>A4442023</t>
  </si>
  <si>
    <t>A4442026</t>
  </si>
  <si>
    <t>Juno Classic Towel Holder-Chrome</t>
  </si>
  <si>
    <t>A44421</t>
  </si>
  <si>
    <t>Height: 52 mm Width : 450 mm Depth : 62 mm</t>
  </si>
  <si>
    <t>Juno Classic Roll Holder (With Cover)-Chrome</t>
  </si>
  <si>
    <t>A44422</t>
  </si>
  <si>
    <t>Height: 112 mm Width : 140 mm Depth : 65 mm</t>
  </si>
  <si>
    <t>246</t>
  </si>
  <si>
    <t>A4442226</t>
  </si>
  <si>
    <t>Juno Classic Bathrobe Holder - Double-Chrome</t>
  </si>
  <si>
    <t>A44423</t>
  </si>
  <si>
    <t>Height: 52 mm Width : 58 mm Depth : 62 mm</t>
  </si>
  <si>
    <t>Height: 360 mm Width : 92 mm Depth : 137 mm</t>
  </si>
  <si>
    <t>Diagon Toothbrush Holder</t>
  </si>
  <si>
    <t>A44426</t>
  </si>
  <si>
    <t>Height: 115 mm Width : 92 mm Depth : 105 mm</t>
  </si>
  <si>
    <t>Diagon Liquid Soap Dispenser</t>
  </si>
  <si>
    <t>A44427</t>
  </si>
  <si>
    <t>Height: 165 mm Width : 115 mm Depth : 108 mm</t>
  </si>
  <si>
    <t>Diagon Soap Dish</t>
  </si>
  <si>
    <t>A44428</t>
  </si>
  <si>
    <t>Height: 35 mm Width : 120 mm</t>
  </si>
  <si>
    <t>A4274036EXP</t>
  </si>
  <si>
    <t>Height: 390 mm Width : 110 mm Depth : 235 mm</t>
  </si>
  <si>
    <t>Height: 285 mm Spout height :210 mm</t>
  </si>
  <si>
    <t>Height: 437 mm Width : 1685 mm Depth : 737 mm</t>
  </si>
  <si>
    <t>Height: 225 mm Spout height :145 mm</t>
  </si>
  <si>
    <t>Fold S Basin Mixer</t>
  </si>
  <si>
    <t>A42533EXP</t>
  </si>
  <si>
    <t>Height: 142 mm Spout height : 90 mm</t>
  </si>
  <si>
    <t>Height: 210 mm Width : 120 mm Depth : 84 mm</t>
  </si>
  <si>
    <t>Width : 215 mm Depth : 131 mm</t>
  </si>
  <si>
    <t>Flo S Basin mixer (for bowls-long spout)</t>
  </si>
  <si>
    <t>A42587EXP</t>
  </si>
  <si>
    <t>Height: 301 mm Spout height :190 mm</t>
  </si>
  <si>
    <t>A4258723EXP</t>
  </si>
  <si>
    <t>Height: 90 mm Width : 90 mm Depth : 63 mm</t>
  </si>
  <si>
    <t>Voyage Roll holder, Tempered glass main body copper</t>
  </si>
  <si>
    <t>A4479355</t>
  </si>
  <si>
    <t>Height: 347 mm Width : 164 mm Depth : 148 mm</t>
  </si>
  <si>
    <t>Voyage Bathrobe Holder, Double, Black Tempered Glass main Body and Brass Bathrobe Holder</t>
  </si>
  <si>
    <t>A4479836</t>
  </si>
  <si>
    <t>Height: 154 mm Width : 454 mm Depth : 82 mm</t>
  </si>
  <si>
    <t>Voyage Bathrobe holder, double, taupe with copper hooks</t>
  </si>
  <si>
    <t>A4479855</t>
  </si>
  <si>
    <t>828</t>
  </si>
  <si>
    <t>Concealed</t>
  </si>
  <si>
    <t>Height: 1140 mm Width : 510 mm Depth : 120 mm</t>
  </si>
  <si>
    <t>Height: 165 mm Width : 360 mm Depth : 113 mm</t>
  </si>
  <si>
    <t>Height: 250 mm Width : 270 mm Depth : 172 mm</t>
  </si>
  <si>
    <t>A4209136</t>
  </si>
  <si>
    <t>Height: 158 mm Width :120 mm Depth : 74 mm</t>
  </si>
  <si>
    <t>ي</t>
  </si>
  <si>
    <t>A42276EXP1</t>
  </si>
  <si>
    <t xml:space="preserve">Height: 170 mm Width : 170 mm Depth : 84 mm
</t>
  </si>
  <si>
    <t>Memoria Basin Mixer</t>
  </si>
  <si>
    <t>A42329EXP</t>
  </si>
  <si>
    <t>Height: 206 mm Spout height :141 mm Depth : 116 mm</t>
  </si>
  <si>
    <t>1046</t>
  </si>
  <si>
    <t>A42331EXP</t>
  </si>
  <si>
    <t>Height: 311 mm Spout height :154 mm</t>
  </si>
  <si>
    <t>1282</t>
  </si>
  <si>
    <t>A42332EXP</t>
  </si>
  <si>
    <t>2092</t>
  </si>
  <si>
    <t>Memoria Bath/Shower Mixer</t>
  </si>
  <si>
    <t>A42334EXP</t>
  </si>
  <si>
    <t>Height: 250 mm Width : 250 mm Depth : 205 mm</t>
  </si>
  <si>
    <t>2130</t>
  </si>
  <si>
    <t>Suit U Bath/Shower Mixer</t>
  </si>
  <si>
    <t>A42488EXP</t>
  </si>
  <si>
    <t>Height: 100 mm Width : 313 mm Depth : 76 mm</t>
  </si>
  <si>
    <t>753</t>
  </si>
  <si>
    <t>A42347EXP</t>
  </si>
  <si>
    <t>Height: 110 mm Width : 345 mm Depth : 167 mm</t>
  </si>
  <si>
    <t>2272</t>
  </si>
  <si>
    <t>A42393EXP</t>
  </si>
  <si>
    <t>Height: 98 mm Width : 98 mm Depth : 167 mm</t>
  </si>
  <si>
    <t>A42398EXP</t>
  </si>
  <si>
    <t>Height: 900 mm Width : 215 mm Depth : 230 mm</t>
  </si>
  <si>
    <t>1982</t>
  </si>
  <si>
    <t>A4239823EXP</t>
  </si>
  <si>
    <t>X-Line Built-In Basin Mixer</t>
  </si>
  <si>
    <t>A4239923EXP</t>
  </si>
  <si>
    <t>Height: 110 mm Width : 170 mm Depth : 222 mm Concealed Part A42230 Must Be Installed During Wall Application Concealed Part Is Not Included, Should Ordered Separately</t>
  </si>
  <si>
    <t>389</t>
  </si>
  <si>
    <t>A42468EXP</t>
  </si>
  <si>
    <t>Height: 275 mm Width : 97 mm Depth : 254 mm</t>
  </si>
  <si>
    <t>714</t>
  </si>
  <si>
    <t>A42469EXP</t>
  </si>
  <si>
    <t>Height: 245 mm Width : 97 mm</t>
  </si>
  <si>
    <t>A4246923EXP</t>
  </si>
  <si>
    <t>Shine Round 3F Shower Set</t>
  </si>
  <si>
    <t>A45628WSA</t>
  </si>
  <si>
    <t>Height: 806 mm Width : 130 mm Depth : 75 mm</t>
  </si>
  <si>
    <t>A45633EXP</t>
  </si>
  <si>
    <t>Height: 185 mm Width : 185 mm Depth : 58 mm</t>
  </si>
  <si>
    <t>Lite Lc Shower Head</t>
  </si>
  <si>
    <t>A45643EXP</t>
  </si>
  <si>
    <t>Height: 300 mm Width : 300 mm Depth : 53 mm</t>
  </si>
  <si>
    <t>884</t>
  </si>
  <si>
    <t>A4564623EXP</t>
  </si>
  <si>
    <t>Height: 400 mm Width : 400 mm Depth : 56 mm</t>
  </si>
  <si>
    <t>1080</t>
  </si>
  <si>
    <t>Height: 950 mm Width : 280 mm Depth : 591 mm</t>
  </si>
  <si>
    <t>Height: 1050 mm Width : 300 mm Depth : 600 mm</t>
  </si>
  <si>
    <t>Height: 1400 mm Width : 400 mm Depth : 508 mm</t>
  </si>
  <si>
    <t>Taupe-black</t>
  </si>
  <si>
    <t>Height: 1530 mm Width : 220 mm Depth : 530 mm</t>
  </si>
  <si>
    <t>Height: 1530 mm Width : 220 mm Depth : 510 mm</t>
  </si>
  <si>
    <t>Height: 1400 mm Width : 220 mm Depth : 430 mm</t>
  </si>
  <si>
    <t>Height: 76 mm Width : 62 mm Depth : 58 mm</t>
  </si>
  <si>
    <t>Suit U Built-In Basin Mixer Expo Copper</t>
  </si>
  <si>
    <t>A4248726EXP</t>
  </si>
  <si>
    <t>Height: 128 mm Width : 200 mm Depth : 145 mm</t>
  </si>
  <si>
    <t>A42487EXP</t>
  </si>
  <si>
    <t>Height: 98 mm Width : 582 mm Depth : 180 mm</t>
  </si>
  <si>
    <t>Concealed Part A40835  Must Be Installed During Wall Application Concealed Part Is Not Included, Should Ordered Separately ….. Width: 180 mm Depth: 150-180 mm</t>
  </si>
  <si>
    <t>Q-Line Built-In Bath/Shower Mixer</t>
  </si>
  <si>
    <t>A42208EXP</t>
  </si>
  <si>
    <t>Height: 170 mm Width :120 mm Depth : 80 mm</t>
  </si>
  <si>
    <t>238</t>
  </si>
  <si>
    <t>A42212EXP</t>
  </si>
  <si>
    <t>Height: 170 mm Width :120 mm Depth : 85 mm ......................... Concealed Part A41949 Must Be Installed During Wall Application Concealed Part Is Not Included, Should Ordered Separately</t>
  </si>
  <si>
    <t>A42231EXP</t>
  </si>
  <si>
    <t>Height: 150 mm Width :120 mm Depth : 200 mm</t>
  </si>
  <si>
    <t>1307</t>
  </si>
  <si>
    <t>Q-Line Built-In Basin Mixer</t>
  </si>
  <si>
    <t>A42250EXP</t>
  </si>
  <si>
    <t>Height: 98 mm Width :200 mm Depth : 183 mm ................................. Concealed Part A42230 Must Be Installed During Wall Application Concealed Part Is Not Included, Should Ordered Separately</t>
  </si>
  <si>
    <t xml:space="preserve">Test Brand Page_x0009_</t>
  </si>
  <si>
    <t>Test Brand Page Arabic</t>
  </si>
  <si>
    <t>24234</t>
  </si>
  <si>
    <t>Test Brand Page</t>
  </si>
  <si>
    <t>Test Brand Page1</t>
  </si>
  <si>
    <t xml:space="preserve">Test Brand Page
</t>
  </si>
  <si>
    <t>In-active</t>
  </si>
  <si>
    <t>123458</t>
  </si>
  <si>
    <t>123457</t>
  </si>
  <si>
    <t>Mini Bathroom</t>
  </si>
  <si>
    <t>MINI-12321</t>
  </si>
  <si>
    <t>32 nd 100 percent</t>
  </si>
  <si>
    <t xml:space="preserve">Mini Bathroom
</t>
  </si>
  <si>
    <t>329</t>
  </si>
  <si>
    <t>6.58</t>
  </si>
  <si>
    <t>299</t>
  </si>
  <si>
    <t>123456</t>
  </si>
  <si>
    <t>Normal Bathroom</t>
  </si>
  <si>
    <t>Normal-12321</t>
  </si>
  <si>
    <t xml:space="preserve">Normal Bathroom
</t>
  </si>
  <si>
    <t>Test Product 123412321</t>
  </si>
  <si>
    <t>12312423324</t>
  </si>
  <si>
    <t xml:space="preserve">Test Product 123412321
</t>
  </si>
  <si>
    <t>123.12</t>
  </si>
  <si>
    <t>22222</t>
  </si>
  <si>
    <t>Test FA Product</t>
  </si>
  <si>
    <t>QA121</t>
  </si>
  <si>
    <t xml:space="preserve">Test FA Product
</t>
  </si>
  <si>
    <t>QA1002</t>
  </si>
  <si>
    <t>QA1078</t>
  </si>
  <si>
    <t>qaaa</t>
  </si>
  <si>
    <t>Test Internal ID</t>
  </si>
  <si>
    <t>qq</t>
  </si>
  <si>
    <t>QA122</t>
  </si>
  <si>
    <t xml:space="preserve">qq
</t>
  </si>
  <si>
    <t>QA1001</t>
  </si>
  <si>
    <t>QC11</t>
  </si>
  <si>
    <t>ID With Multi Var</t>
  </si>
  <si>
    <t>www</t>
  </si>
  <si>
    <t>QA1222</t>
  </si>
  <si>
    <t>Tiles</t>
  </si>
  <si>
    <t>ww</t>
  </si>
  <si>
    <t xml:space="preserve">ww
</t>
  </si>
  <si>
    <t>QA1003</t>
  </si>
  <si>
    <t>QA1004</t>
  </si>
  <si>
    <t>QA1005</t>
  </si>
  <si>
    <t>QA1006</t>
  </si>
  <si>
    <t>Reverse Case ID</t>
  </si>
  <si>
    <t>AZAZ</t>
  </si>
  <si>
    <t>QC1</t>
  </si>
  <si>
    <t>1QA</t>
  </si>
  <si>
    <t>Test1234234324</t>
  </si>
  <si>
    <t>Alaplana</t>
  </si>
  <si>
    <t>red</t>
  </si>
  <si>
    <t>23123sdas</t>
  </si>
  <si>
    <t>NewProduct With Bulk ID Test</t>
  </si>
  <si>
    <t>QSW232</t>
  </si>
  <si>
    <t>qqq</t>
  </si>
  <si>
    <t>NameTest_Bulk</t>
  </si>
  <si>
    <t>Test-123</t>
  </si>
  <si>
    <t>Eformetal</t>
  </si>
  <si>
    <t>328</t>
  </si>
  <si>
    <t>6.56</t>
  </si>
  <si>
    <t>10023</t>
  </si>
  <si>
    <t>Test1213-232</t>
  </si>
  <si>
    <t>TestDebug</t>
  </si>
  <si>
    <t>TestDebug_2</t>
  </si>
  <si>
    <t>12313</t>
  </si>
  <si>
    <t>232323</t>
  </si>
  <si>
    <t>123434</t>
  </si>
  <si>
    <t>green</t>
  </si>
  <si>
    <t>348239</t>
  </si>
  <si>
    <t>281381</t>
  </si>
  <si>
    <t>Bulk Product 1</t>
  </si>
  <si>
    <t>ST101</t>
  </si>
  <si>
    <t>QA11</t>
  </si>
  <si>
    <t xml:space="preserve">
Height (mm)
340
Width (mm)
355
Depth (mm)
545
Color
White
Designer
VitrA Design Team
Brand
VitrA
Finish
Hygiene
Certificate
CE, NF
Bidet pipe access
Without bidet pipe
</t>
  </si>
  <si>
    <t>660.28</t>
  </si>
  <si>
    <t>976</t>
  </si>
  <si>
    <t>24663</t>
  </si>
</sst>
</file>

<file path=xl/styles.xml><?xml version="1.0" encoding="utf-8"?>
<styleSheet xmlns="http://schemas.openxmlformats.org/spreadsheetml/2006/main">
  <numFmts count="0"/>
  <fonts count="2">
    <font>
      <sz val="11"/>
      <name val="Calibri"/>
    </font>
    <font>
      <b/>
      <sz val="11"/>
      <name val="Calibri"/>
    </font>
  </fonts>
  <fills count="2">
    <fill>
      <patternFill patternType="none"/>
    </fill>
    <fill>
      <patternFill patternType="gray125"/>
    </fill>
  </fills>
  <borders count="1">
    <border>
      <left/>
      <right/>
      <top/>
      <bottom/>
      <diagonal/>
    </border>
  </borders>
  <cellStyleXfs count="1">
    <xf numFmtId="0" fontId="0"/>
  </cellStyleXfs>
  <cellXfs count="2">
    <xf numFmtId="0" fontId="0" xfId="0"/>
    <xf numFmtId="0" fontId="1" applyFont="1">
      <alignment wrapText="1"/>
    </xf>
  </cellXfs>
  <cellStyles count="1">
    <cellStyle name="Normal" xfId="0" builtinId="0"/>
  </cellStyles>
  <dxfs count="0"/>
</styleSheet>
</file>

<file path=xl/_rels/workbook.xml.rels><?xml version="1.0" encoding="UTF-8" standalone="yes"?><Relationships xmlns="http://schemas.openxmlformats.org/package/2006/relationships"><Relationship Id="rId1" Type="http://schemas.openxmlformats.org/officeDocument/2006/relationships/worksheet" Target="worksheets/sheet1.xml"/><Relationship Id="rId2" Type="http://schemas.openxmlformats.org/officeDocument/2006/relationships/styles" Target="styles.xml"/><Relationship Id="rId3" Type="http://schemas.openxmlformats.org/officeDocument/2006/relationships/sharedStrings" Target="sharedStrings.xml"/></Relationships>
</file>

<file path=xl/worksheets/sheet1.xml><?xml version="1.0" encoding="utf-8"?>
<worksheet xmlns:r="http://schemas.openxmlformats.org/officeDocument/2006/relationships" xmlns="http://schemas.openxmlformats.org/spreadsheetml/2006/main">
  <sheetPr codeName=""/>
  <dimension ref="A1:X1552"/>
  <sheetViews>
    <sheetView workbookViewId="0"/>
  </sheetViews>
  <sheetFormatPr defaultRowHeight="15"/>
  <cols>
    <col min="1" max="1" width="98.99085998535156" customWidth="1"/>
    <col min="2" max="2" width="98.99085998535156" customWidth="1"/>
    <col min="3" max="3" width="31.15127182006836" customWidth="1"/>
    <col min="4" max="4" width="17.829204559326172" customWidth="1"/>
    <col min="5" max="5" width="26.251480102539062" customWidth="1"/>
    <col min="6" max="6" width="26.126171112060547" customWidth="1"/>
    <col min="7" max="7" width="98.99085998535156" customWidth="1"/>
    <col min="8" max="8" width="98.99085998535156" customWidth="1"/>
    <col min="9" max="9" width="822.0822143554688" customWidth="1"/>
    <col min="10" max="10" width="784.7572631835938" customWidth="1"/>
    <col min="11" max="11" width="9.140625" customWidth="1"/>
    <col min="12" max="12" width="9.140625" customWidth="1"/>
    <col min="13" max="13" width="11.872115135192871" customWidth="1"/>
    <col min="14" max="14" width="9.140625" customWidth="1"/>
    <col min="15" max="15" width="9.140625" customWidth="1"/>
    <col min="16" max="16" width="19.9283390045166" customWidth="1"/>
    <col min="17" max="17" width="9.140625" customWidth="1"/>
    <col min="18" max="18" width="31.15127182006836" customWidth="1"/>
    <col min="19" max="19" width="9.140625" customWidth="1"/>
    <col min="20" max="20" width="9.140625" customWidth="1"/>
    <col min="21" max="21" width="9.140625" customWidth="1"/>
    <col min="22" max="22" width="9.140625" customWidth="1"/>
    <col min="23" max="23" width="9.153379440307617" customWidth="1"/>
    <col min="24" max="24" width="11.175787925720215" customWidth="1"/>
  </cols>
  <sheetData>
    <row r="1">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row>
    <row r="2">
      <c r="A2" s="0" t="s">
        <v>24</v>
      </c>
      <c r="B2" s="0" t="s">
        <v>25</v>
      </c>
      <c r="C2" s="0" t="s">
        <v>26</v>
      </c>
      <c r="D2" s="0" t="s">
        <v>27</v>
      </c>
      <c r="E2" s="0" t="s">
        <v>28</v>
      </c>
      <c r="F2" s="0" t="s">
        <v>29</v>
      </c>
      <c r="G2" s="0" t="s">
        <v>24</v>
      </c>
      <c r="H2" s="0" t="s">
        <v>24</v>
      </c>
      <c r="I2" s="0" t="s">
        <v>30</v>
      </c>
      <c r="J2" s="0" t="s">
        <v>30</v>
      </c>
      <c r="K2" s="0" t="s">
        <v>31</v>
      </c>
      <c r="L2" s="0" t="s">
        <v>32</v>
      </c>
      <c r="M2" s="0" t="s">
        <v>33</v>
      </c>
      <c r="N2" s="0" t="s">
        <v>34</v>
      </c>
      <c r="O2" s="0" t="s">
        <v>35</v>
      </c>
      <c r="P2" s="0" t="s">
        <v>36</v>
      </c>
      <c r="Q2" s="0" t="s">
        <v>37</v>
      </c>
      <c r="R2" s="0" t="s">
        <v>26</v>
      </c>
      <c r="S2" s="0" t="s">
        <v>34</v>
      </c>
      <c r="T2" s="0">
        <f>HYPERLINK("https://ec-uat-storage.kldlms.com/ItemVariation/08DCC039-C7ED-47FD-855E-0709EFFE9F3C/151ABFD9-E57F-4C8B-8C3D-A440FF6029D3.jpeg","Variant Image")</f>
      </c>
      <c r="U2" s="0">
        <f>HYPERLINK("https://ec-qa-storage.kldlms.com/Item/08DCC039-C7ED-47FD-855E-0709EFFE9F3C/05703963-8500-44E9-8D3F-462478C4F5F2.jpg","Thumbnail Image")</f>
      </c>
      <c r="V2" s="0">
        <f>HYPERLINK("https://ec-qa-storage.kldlms.com/ItemGallery/08DCC039-C7ED-47FD-855E-0709EFFE9F3C/6B1E63AC-F709-43C9-BFC4-4841E2459028.jpg","Gallery Image ")</f>
      </c>
      <c r="W2" s="0" t="s">
        <v>22</v>
      </c>
      <c r="X2" s="0" t="s">
        <v>38</v>
      </c>
    </row>
    <row r="3">
      <c r="P3" s="0" t="s">
        <v>39</v>
      </c>
      <c r="Q3" s="0" t="s">
        <v>37</v>
      </c>
      <c r="R3" s="0" t="s">
        <v>26</v>
      </c>
      <c r="S3" s="0" t="s">
        <v>34</v>
      </c>
      <c r="T3" s="0">
        <f>HYPERLINK("https://storage.sslt.ae/ItemVariation/08DCC039-C7ED-47FD-855E-0709EFFE9F3C/70B45F7F-1483-4E74-812E-F1F37504C7D5.jpg","Variant Image")</f>
      </c>
      <c r="X3" s="0" t="s">
        <v>38</v>
      </c>
    </row>
    <row r="4">
      <c r="A4" s="0" t="s">
        <v>40</v>
      </c>
      <c r="B4" s="0" t="s">
        <v>40</v>
      </c>
      <c r="C4" s="0" t="s">
        <v>41</v>
      </c>
      <c r="D4" s="0" t="s">
        <v>27</v>
      </c>
      <c r="E4" s="0" t="s">
        <v>28</v>
      </c>
      <c r="F4" s="0" t="s">
        <v>29</v>
      </c>
      <c r="G4" s="0" t="s">
        <v>40</v>
      </c>
      <c r="H4" s="0" t="s">
        <v>40</v>
      </c>
      <c r="I4" s="0" t="s">
        <v>42</v>
      </c>
      <c r="J4" s="0" t="s">
        <v>42</v>
      </c>
      <c r="K4" s="0" t="s">
        <v>43</v>
      </c>
      <c r="L4" s="0" t="s">
        <v>32</v>
      </c>
      <c r="M4" s="0" t="s">
        <v>33</v>
      </c>
      <c r="N4" s="0" t="s">
        <v>44</v>
      </c>
      <c r="O4" s="0" t="s">
        <v>35</v>
      </c>
      <c r="P4" s="0" t="s">
        <v>36</v>
      </c>
      <c r="Q4" s="0" t="s">
        <v>45</v>
      </c>
      <c r="R4" s="0" t="s">
        <v>41</v>
      </c>
      <c r="S4" s="0" t="s">
        <v>44</v>
      </c>
      <c r="T4" s="0">
        <f>HYPERLINK("https://ec-uat-storage.kldlms.com/ItemVariation/08DCC03F-1C52-41E1-8DCC-5B3D28ECEE44/39FAD60A-A6A9-43B3-83CA-40F99A93BC51.jpeg","Variant Image")</f>
      </c>
      <c r="U4" s="0">
        <f>HYPERLINK("https://ec-qa-storage.kldlms.com/Item/08DCC03F-1C52-41E1-8DCC-5B3D28ECEE44/D7E5A524-2927-4D86-9700-E593A9839906.jpg","Thumbnail Image")</f>
      </c>
      <c r="V4" s="0">
        <f>HYPERLINK("https://ec-qa-storage.kldlms.com/ItemGallery/08DCC03F-1C52-41E1-8DCC-5B3D28ECEE44/1AA17DF8-2449-44FB-9B5A-040688ED2694.jpg","Gallery Image ")</f>
      </c>
      <c r="W4" s="0" t="s">
        <v>22</v>
      </c>
      <c r="X4" s="0" t="s">
        <v>46</v>
      </c>
    </row>
    <row r="5">
      <c r="P5" s="0" t="s">
        <v>39</v>
      </c>
      <c r="Q5" s="0" t="s">
        <v>45</v>
      </c>
      <c r="R5" s="0" t="s">
        <v>41</v>
      </c>
      <c r="S5" s="0" t="s">
        <v>44</v>
      </c>
      <c r="T5" s="0">
        <f>HYPERLINK("https://storage.sslt.ae/ItemVariation/08DCC03F-1C52-41E1-8DCC-5B3D28ECEE44/527EC870-F49F-4E76-8F73-06A44963CE19.jpg","Variant Image")</f>
      </c>
      <c r="X5" s="0" t="s">
        <v>46</v>
      </c>
    </row>
    <row r="6">
      <c r="A6" s="0" t="s">
        <v>47</v>
      </c>
      <c r="B6" s="0" t="s">
        <v>48</v>
      </c>
      <c r="C6" s="0" t="s">
        <v>49</v>
      </c>
      <c r="D6" s="0" t="s">
        <v>27</v>
      </c>
      <c r="E6" s="0" t="s">
        <v>28</v>
      </c>
      <c r="F6" s="0" t="s">
        <v>29</v>
      </c>
      <c r="G6" s="0" t="s">
        <v>47</v>
      </c>
      <c r="H6" s="0" t="s">
        <v>47</v>
      </c>
      <c r="I6" s="0" t="s">
        <v>50</v>
      </c>
      <c r="J6" s="0" t="s">
        <v>50</v>
      </c>
      <c r="K6" s="0" t="s">
        <v>51</v>
      </c>
      <c r="L6" s="0" t="s">
        <v>32</v>
      </c>
      <c r="M6" s="0" t="s">
        <v>33</v>
      </c>
      <c r="N6" s="0" t="s">
        <v>52</v>
      </c>
      <c r="O6" s="0" t="s">
        <v>35</v>
      </c>
      <c r="P6" s="0" t="s">
        <v>36</v>
      </c>
      <c r="Q6" s="0" t="s">
        <v>53</v>
      </c>
      <c r="R6" s="0" t="s">
        <v>49</v>
      </c>
      <c r="S6" s="0" t="s">
        <v>52</v>
      </c>
      <c r="T6" s="0">
        <f>HYPERLINK("https://ec-uat-storage.kldlms.com/ItemVariation/08DCC041-2F8E-44DA-8563-20E5D1526C10/901C1007-6373-43E1-A9EC-3C86FEA12931.webp","Variant Image")</f>
      </c>
      <c r="U6" s="0">
        <f>HYPERLINK("https://ec-qa-storage.kldlms.com/Item/08DCC041-2F8E-44DA-8563-20E5D1526C10/56B88FA6-120C-41E9-98D1-CA780897903C.jpg","Thumbnail Image")</f>
      </c>
      <c r="V6" s="0">
        <f>HYPERLINK("https://ec-qa-storage.kldlms.com/ItemGallery/08DCC041-2F8E-44DA-8563-20E5D1526C10/2757043E-AD04-45AD-BC61-4FBF37773FEC.jpg","Gallery Image ")</f>
      </c>
      <c r="W6" s="0" t="s">
        <v>22</v>
      </c>
      <c r="X6" s="0" t="s">
        <v>54</v>
      </c>
    </row>
    <row r="7">
      <c r="P7" s="0" t="s">
        <v>39</v>
      </c>
      <c r="Q7" s="0" t="s">
        <v>53</v>
      </c>
      <c r="R7" s="0" t="s">
        <v>49</v>
      </c>
      <c r="S7" s="0" t="s">
        <v>52</v>
      </c>
      <c r="T7" s="0">
        <f>HYPERLINK("https://storage.sslt.ae/ItemVariation/08DCC041-2F8E-44DA-8563-20E5D1526C10/DB55D93C-AE1C-4BD8-AD6F-F359ABE43D35.jpg","Variant Image")</f>
      </c>
      <c r="X7" s="0" t="s">
        <v>54</v>
      </c>
    </row>
    <row r="8">
      <c r="A8" s="0" t="s">
        <v>55</v>
      </c>
      <c r="B8" s="0" t="s">
        <v>55</v>
      </c>
      <c r="C8" s="0" t="s">
        <v>56</v>
      </c>
      <c r="D8" s="0" t="s">
        <v>57</v>
      </c>
      <c r="E8" s="0" t="s">
        <v>58</v>
      </c>
      <c r="F8" s="0" t="s">
        <v>29</v>
      </c>
      <c r="G8" s="0" t="s">
        <v>59</v>
      </c>
      <c r="H8" s="0" t="s">
        <v>59</v>
      </c>
      <c r="I8" s="0" t="s">
        <v>60</v>
      </c>
      <c r="J8" s="0" t="s">
        <v>60</v>
      </c>
      <c r="K8" s="0" t="s">
        <v>35</v>
      </c>
      <c r="L8" s="0" t="s">
        <v>32</v>
      </c>
      <c r="M8" s="0" t="s">
        <v>61</v>
      </c>
      <c r="N8" s="0" t="s">
        <v>35</v>
      </c>
      <c r="O8" s="0" t="s">
        <v>32</v>
      </c>
      <c r="P8" s="0" t="s">
        <v>36</v>
      </c>
      <c r="Q8" s="0" t="s">
        <v>35</v>
      </c>
      <c r="R8" s="0" t="s">
        <v>56</v>
      </c>
      <c r="S8" s="0" t="s">
        <v>35</v>
      </c>
      <c r="T8" s="0">
        <f>HYPERLINK("https://ec-uat-storage.kldlms.com/ItemVariation/08DCC043-BEF0-4059-80F9-5F541F53B8F1/CE087447-44B5-422F-874B-BE3A2D70D750.webp","Variant Image")</f>
      </c>
      <c r="U8" s="0">
        <f>HYPERLINK("https://ec-qa-storage.kldlms.com/Item/08DCC043-BEF0-4059-80F9-5F541F53B8F1/20761965-131D-41FB-8EF1-6BE303F341F7.webp","Thumbnail Image")</f>
      </c>
      <c r="V8" s="0">
        <f>HYPERLINK("https://ec-qa-storage.kldlms.com/ItemGallery/08DCC043-BEF0-4059-80F9-5F541F53B8F1/FA2C9651-5C66-47AB-A7BF-0342309151F2.webp","Gallery Image ")</f>
      </c>
      <c r="W8" s="0" t="s">
        <v>22</v>
      </c>
    </row>
    <row r="9">
      <c r="A9" s="0" t="s">
        <v>62</v>
      </c>
      <c r="B9" s="0" t="s">
        <v>62</v>
      </c>
      <c r="C9" s="0" t="s">
        <v>63</v>
      </c>
      <c r="D9" s="0" t="s">
        <v>27</v>
      </c>
      <c r="E9" s="0" t="s">
        <v>28</v>
      </c>
      <c r="F9" s="0" t="s">
        <v>29</v>
      </c>
      <c r="G9" s="0" t="s">
        <v>62</v>
      </c>
      <c r="H9" s="0" t="s">
        <v>62</v>
      </c>
      <c r="I9" s="0" t="s">
        <v>64</v>
      </c>
      <c r="J9" s="0" t="s">
        <v>64</v>
      </c>
      <c r="K9" s="0" t="s">
        <v>65</v>
      </c>
      <c r="L9" s="0" t="s">
        <v>66</v>
      </c>
      <c r="M9" s="0" t="s">
        <v>61</v>
      </c>
      <c r="N9" s="0" t="s">
        <v>67</v>
      </c>
      <c r="O9" s="0" t="s">
        <v>35</v>
      </c>
      <c r="P9" s="0" t="s">
        <v>36</v>
      </c>
      <c r="Q9" s="0" t="s">
        <v>68</v>
      </c>
      <c r="R9" s="0" t="s">
        <v>63</v>
      </c>
      <c r="S9" s="0" t="s">
        <v>67</v>
      </c>
      <c r="T9" s="0">
        <f>HYPERLINK("https://ec-uat-storage.kldlms.com/ItemVariation/08DCC044-BF81-412C-8CE2-B7916B348342/746342C0-735F-4B63-AC8A-4ABCC746E839.webp","Variant Image")</f>
      </c>
      <c r="U9" s="0">
        <f>HYPERLINK("https://ec-qa-storage.kldlms.com/Item/08DCC044-BF81-412C-8CE2-B7916B348342/8C89781C-7C78-4320-8DE2-FC9907FA0890.jpg","Thumbnail Image")</f>
      </c>
      <c r="V9" s="0">
        <f>HYPERLINK("https://ec-qa-storage.kldlms.com/ItemGallery/08DCC044-BF81-412C-8CE2-B7916B348342/742E8E31-8B81-4C72-A0B9-2AB244C8E0B2.jpg","Gallery Image ")</f>
      </c>
      <c r="W9" s="0" t="s">
        <v>22</v>
      </c>
      <c r="X9" s="0" t="s">
        <v>69</v>
      </c>
    </row>
    <row r="10">
      <c r="P10" s="0" t="s">
        <v>39</v>
      </c>
      <c r="Q10" s="0" t="s">
        <v>68</v>
      </c>
      <c r="R10" s="0" t="s">
        <v>63</v>
      </c>
      <c r="S10" s="0" t="s">
        <v>67</v>
      </c>
      <c r="T10" s="0">
        <f>HYPERLINK("https://storage.sslt.ae/ItemVariation/08DCC044-BF81-412C-8CE2-B7916B348342/E16D566C-EF1E-4C37-92FC-28E596FD2815.jpg","Variant Image")</f>
      </c>
      <c r="X10" s="0" t="s">
        <v>69</v>
      </c>
    </row>
    <row r="11">
      <c r="A11" s="0" t="s">
        <v>70</v>
      </c>
      <c r="B11" s="0" t="s">
        <v>70</v>
      </c>
      <c r="C11" s="0" t="s">
        <v>71</v>
      </c>
      <c r="D11" s="0" t="s">
        <v>27</v>
      </c>
      <c r="E11" s="0" t="s">
        <v>28</v>
      </c>
      <c r="F11" s="0" t="s">
        <v>29</v>
      </c>
      <c r="G11" s="0" t="s">
        <v>70</v>
      </c>
      <c r="H11" s="0" t="s">
        <v>70</v>
      </c>
      <c r="I11" s="0" t="s">
        <v>72</v>
      </c>
      <c r="J11" s="0" t="s">
        <v>72</v>
      </c>
      <c r="K11" s="0" t="s">
        <v>73</v>
      </c>
      <c r="L11" s="0" t="s">
        <v>32</v>
      </c>
      <c r="M11" s="0" t="s">
        <v>33</v>
      </c>
      <c r="N11" s="0" t="s">
        <v>74</v>
      </c>
      <c r="O11" s="0" t="s">
        <v>35</v>
      </c>
      <c r="P11" s="0" t="s">
        <v>36</v>
      </c>
      <c r="Q11" s="0" t="s">
        <v>75</v>
      </c>
      <c r="R11" s="0" t="s">
        <v>71</v>
      </c>
      <c r="S11" s="0" t="s">
        <v>74</v>
      </c>
      <c r="T11" s="0">
        <f>HYPERLINK("https://ec-uat-storage.kldlms.com/ItemVariation/08DCC045-AB06-4270-8B75-9241EB8A6E9F/5FAD4E0A-D4C8-479F-8B67-4C243799D1A4.webp","Variant Image")</f>
      </c>
      <c r="U11" s="0">
        <f>HYPERLINK("https://ec-qa-storage.kldlms.com/Item/08DCC045-AB06-4270-8B75-9241EB8A6E9F/5119AF1A-61DF-44D5-8FA2-86CF9D1411F9.jpg","Thumbnail Image")</f>
      </c>
      <c r="V11" s="0">
        <f>HYPERLINK("https://ec-qa-storage.kldlms.com/ItemGallery/08DCC045-AB06-4270-8B75-9241EB8A6E9F/23548656-4E93-4028-A380-BC5845F36D5F.jpg","Gallery Image ")</f>
      </c>
      <c r="W11" s="0" t="s">
        <v>22</v>
      </c>
      <c r="X11" s="0" t="s">
        <v>76</v>
      </c>
    </row>
    <row r="12">
      <c r="P12" s="0" t="s">
        <v>39</v>
      </c>
      <c r="Q12" s="0" t="s">
        <v>75</v>
      </c>
      <c r="R12" s="0" t="s">
        <v>71</v>
      </c>
      <c r="S12" s="0" t="s">
        <v>74</v>
      </c>
      <c r="T12" s="0">
        <f>HYPERLINK("https://storage.sslt.ae/ItemVariation/08DCC045-AB06-4270-8B75-9241EB8A6E9F/9274B958-4455-4280-AFD0-CC2FDA770E6F.jpg","Variant Image")</f>
      </c>
      <c r="X12" s="0" t="s">
        <v>76</v>
      </c>
    </row>
    <row r="13">
      <c r="A13" s="0" t="s">
        <v>77</v>
      </c>
      <c r="B13" s="0" t="s">
        <v>77</v>
      </c>
      <c r="C13" s="0" t="s">
        <v>78</v>
      </c>
      <c r="D13" s="0" t="s">
        <v>27</v>
      </c>
      <c r="E13" s="0" t="s">
        <v>79</v>
      </c>
      <c r="F13" s="0" t="s">
        <v>80</v>
      </c>
      <c r="G13" s="0" t="s">
        <v>77</v>
      </c>
      <c r="H13" s="0" t="s">
        <v>77</v>
      </c>
      <c r="I13" s="0" t="s">
        <v>81</v>
      </c>
      <c r="J13" s="0" t="s">
        <v>81</v>
      </c>
      <c r="K13" s="0" t="s">
        <v>82</v>
      </c>
      <c r="L13" s="0" t="s">
        <v>32</v>
      </c>
      <c r="M13" s="0" t="s">
        <v>33</v>
      </c>
      <c r="N13" s="0" t="s">
        <v>83</v>
      </c>
      <c r="O13" s="0" t="s">
        <v>35</v>
      </c>
      <c r="P13" s="0" t="s">
        <v>36</v>
      </c>
      <c r="Q13" s="0" t="s">
        <v>84</v>
      </c>
      <c r="R13" s="0" t="s">
        <v>78</v>
      </c>
      <c r="S13" s="0" t="s">
        <v>83</v>
      </c>
      <c r="T13" s="0">
        <f>HYPERLINK("https://ec-uat-storage.kldlms.com/ItemVariation/08DCC046-6A24-4A12-87D1-CD568AC6BA59/B9A7E301-CB02-4B39-B041-9CEDA0AF9B1C.webp","Variant Image")</f>
      </c>
      <c r="U13" s="0">
        <f>HYPERLINK("https://ec-qa-storage.kldlms.com/Item/08DCC046-6A24-4A12-87D1-CD568AC6BA59/8731F0B2-41EC-42D6-B2AD-1F5F69EBA2CE.jpg","Thumbnail Image")</f>
      </c>
      <c r="V13" s="0">
        <f>HYPERLINK("https://ec-qa-storage.kldlms.com/ItemGallery/08DCC046-6A24-4A12-87D1-CD568AC6BA59/FA974228-7CFF-412D-BDDB-6C9B101C01BE.jpg","Gallery Image ")</f>
      </c>
      <c r="W13" s="0" t="s">
        <v>22</v>
      </c>
      <c r="X13" s="0" t="s">
        <v>85</v>
      </c>
    </row>
    <row r="14">
      <c r="P14" s="0" t="s">
        <v>39</v>
      </c>
      <c r="Q14" s="0" t="s">
        <v>84</v>
      </c>
      <c r="R14" s="0" t="s">
        <v>78</v>
      </c>
      <c r="S14" s="0" t="s">
        <v>83</v>
      </c>
      <c r="T14" s="0">
        <f>HYPERLINK("https://storage.sslt.ae/ItemVariation/08DCC046-6A24-4A12-87D1-CD568AC6BA59/29B508F4-D148-4C03-A9C6-75904AD954B3.jpg","Variant Image")</f>
      </c>
      <c r="X14" s="0" t="s">
        <v>85</v>
      </c>
    </row>
    <row r="15">
      <c r="A15" s="0" t="s">
        <v>86</v>
      </c>
      <c r="B15" s="0" t="s">
        <v>86</v>
      </c>
      <c r="C15" s="0" t="s">
        <v>87</v>
      </c>
      <c r="D15" s="0" t="s">
        <v>27</v>
      </c>
      <c r="E15" s="0" t="s">
        <v>88</v>
      </c>
      <c r="F15" s="0" t="s">
        <v>80</v>
      </c>
      <c r="G15" s="0" t="s">
        <v>86</v>
      </c>
      <c r="H15" s="0" t="s">
        <v>86</v>
      </c>
      <c r="I15" s="0" t="s">
        <v>89</v>
      </c>
      <c r="J15" s="0" t="s">
        <v>89</v>
      </c>
      <c r="K15" s="0" t="s">
        <v>90</v>
      </c>
      <c r="L15" s="0" t="s">
        <v>32</v>
      </c>
      <c r="M15" s="0" t="s">
        <v>33</v>
      </c>
      <c r="N15" s="0" t="s">
        <v>32</v>
      </c>
      <c r="O15" s="0" t="s">
        <v>35</v>
      </c>
      <c r="P15" s="0" t="s">
        <v>36</v>
      </c>
      <c r="Q15" s="0" t="s">
        <v>91</v>
      </c>
      <c r="R15" s="0" t="s">
        <v>87</v>
      </c>
      <c r="S15" s="0" t="s">
        <v>92</v>
      </c>
      <c r="T15" s="0">
        <f>HYPERLINK("https://ec-uat-storage.kldlms.com/ItemVariation/08DCC047-0920-4E39-8D96-B1705EA1E9CC/6910C65D-7F97-4395-B8FB-CA7C8DDAF5A9.webp","Variant Image")</f>
      </c>
      <c r="U15" s="0">
        <f>HYPERLINK("https://ec-qa-storage.kldlms.com/Item/08DCC047-0920-4E39-8D96-B1705EA1E9CC/55EC183C-93E0-438B-AC2B-71F0B9717A4B.jpg","Thumbnail Image")</f>
      </c>
      <c r="V15" s="0">
        <f>HYPERLINK("https://ec-qa-storage.kldlms.com/ItemGallery/08DCC047-0920-4E39-8D96-B1705EA1E9CC/B2BCCABF-79A2-4734-81A2-65AA3AD44162.jpg","Gallery Image ")</f>
      </c>
      <c r="W15" s="0" t="s">
        <v>22</v>
      </c>
      <c r="X15" s="0" t="s">
        <v>93</v>
      </c>
    </row>
    <row r="16">
      <c r="P16" s="0" t="s">
        <v>94</v>
      </c>
      <c r="Q16" s="0" t="s">
        <v>91</v>
      </c>
      <c r="R16" s="0" t="s">
        <v>87</v>
      </c>
      <c r="S16" s="0" t="s">
        <v>92</v>
      </c>
      <c r="T16" s="0">
        <f>HYPERLINK("https://storage.sslt.ae/ItemVariation/08DCC047-0920-4E39-8D96-B1705EA1E9CC/4517307C-EF86-43D3-AEAE-310695976A11.jpg","Variant Image")</f>
      </c>
      <c r="X16" s="0" t="s">
        <v>93</v>
      </c>
    </row>
    <row r="17">
      <c r="A17" s="0" t="s">
        <v>95</v>
      </c>
      <c r="B17" s="0" t="s">
        <v>95</v>
      </c>
      <c r="C17" s="0" t="s">
        <v>96</v>
      </c>
      <c r="D17" s="0" t="s">
        <v>27</v>
      </c>
      <c r="E17" s="0" t="s">
        <v>97</v>
      </c>
      <c r="F17" s="0" t="s">
        <v>80</v>
      </c>
      <c r="G17" s="0" t="s">
        <v>95</v>
      </c>
      <c r="H17" s="0" t="s">
        <v>95</v>
      </c>
      <c r="I17" s="0" t="s">
        <v>98</v>
      </c>
      <c r="J17" s="0" t="s">
        <v>98</v>
      </c>
      <c r="K17" s="0" t="s">
        <v>99</v>
      </c>
      <c r="L17" s="0" t="s">
        <v>32</v>
      </c>
      <c r="M17" s="0" t="s">
        <v>33</v>
      </c>
      <c r="N17" s="0" t="s">
        <v>100</v>
      </c>
      <c r="O17" s="0" t="s">
        <v>35</v>
      </c>
      <c r="P17" s="0" t="s">
        <v>36</v>
      </c>
      <c r="Q17" s="0" t="s">
        <v>101</v>
      </c>
      <c r="R17" s="0" t="s">
        <v>96</v>
      </c>
      <c r="S17" s="0" t="s">
        <v>100</v>
      </c>
      <c r="T17" s="0">
        <f>HYPERLINK("https://ec-uat-storage.kldlms.com/ItemVariation/08DCC047-A862-44C9-8C9B-4AC916A7205C/B368F483-6F7D-441F-917C-00138F3D6354.webp","Variant Image")</f>
      </c>
      <c r="U17" s="0">
        <f>HYPERLINK("https://ec-qa-storage.kldlms.com/Item/08DCC047-A862-44C9-8C9B-4AC916A7205C/7928927F-E19A-4D9B-8FB5-BAEA14549F65.jpg","Thumbnail Image")</f>
      </c>
      <c r="V17" s="0">
        <f>HYPERLINK("https://ec-qa-storage.kldlms.com/ItemGallery/08DCC047-A862-44C9-8C9B-4AC916A7205C/45C0A96F-74A0-495D-ADE4-4D46DA700789.jpg","Gallery Image ")</f>
      </c>
      <c r="W17" s="0" t="s">
        <v>22</v>
      </c>
      <c r="X17" s="0" t="s">
        <v>102</v>
      </c>
    </row>
    <row r="18">
      <c r="P18" s="0" t="s">
        <v>39</v>
      </c>
      <c r="Q18" s="0" t="s">
        <v>99</v>
      </c>
      <c r="R18" s="0" t="s">
        <v>96</v>
      </c>
      <c r="S18" s="0" t="s">
        <v>32</v>
      </c>
      <c r="T18" s="0">
        <f>HYPERLINK("https://storage.sslt.ae/ItemVariation/08DCC047-A862-44C9-8C9B-4AC916A7205C/ED6BDC3B-CE46-435D-B260-8F29ED0AE238.jpg","Variant Image")</f>
      </c>
      <c r="X18" s="0" t="s">
        <v>102</v>
      </c>
    </row>
    <row r="19">
      <c r="A19" s="0" t="s">
        <v>103</v>
      </c>
      <c r="B19" s="0" t="s">
        <v>103</v>
      </c>
      <c r="C19" s="0" t="s">
        <v>104</v>
      </c>
      <c r="D19" s="0" t="s">
        <v>27</v>
      </c>
      <c r="E19" s="0" t="s">
        <v>105</v>
      </c>
      <c r="F19" s="0" t="s">
        <v>29</v>
      </c>
      <c r="G19" s="0" t="s">
        <v>106</v>
      </c>
      <c r="H19" s="0" t="s">
        <v>106</v>
      </c>
      <c r="I19" s="0" t="s">
        <v>107</v>
      </c>
      <c r="J19" s="0" t="s">
        <v>107</v>
      </c>
      <c r="K19" s="0" t="s">
        <v>108</v>
      </c>
      <c r="L19" s="0" t="s">
        <v>32</v>
      </c>
      <c r="M19" s="0" t="s">
        <v>61</v>
      </c>
      <c r="N19" s="0" t="s">
        <v>109</v>
      </c>
      <c r="O19" s="0" t="s">
        <v>110</v>
      </c>
      <c r="P19" s="0" t="s">
        <v>111</v>
      </c>
      <c r="Q19" s="0" t="s">
        <v>108</v>
      </c>
      <c r="R19" s="0" t="s">
        <v>104</v>
      </c>
      <c r="S19" s="0" t="s">
        <v>109</v>
      </c>
      <c r="T19" s="0">
        <f>HYPERLINK("https://ec-uat-storage.kldlms.com/ItemVariation/08DCC048-8874-4D66-8053-CA65C48A2336/4EBEACFD-3291-46F3-BD29-440A8A0656AE.jpeg","Variant Image")</f>
      </c>
      <c r="U19" s="0">
        <f>HYPERLINK("https://ec-qa-storage.kldlms.com/Item/08DCC048-8874-4D66-8053-CA65C48A2336/8170339B-F836-46A7-A089-FBD4F9A2336E.jpeg","Thumbnail Image")</f>
      </c>
      <c r="V19" s="0">
        <f>HYPERLINK("https://ec-qa-storage.kldlms.com/ItemGallery/08DCC048-8874-4D66-8053-CA65C48A2336/91D1A36E-9049-47C6-BD7B-1C7C3E600A4E.jpeg","Gallery Image ")</f>
      </c>
      <c r="W19" s="0" t="s">
        <v>22</v>
      </c>
      <c r="X19" s="0" t="s">
        <v>112</v>
      </c>
    </row>
    <row r="20">
      <c r="A20" s="0" t="s">
        <v>103</v>
      </c>
      <c r="B20" s="0" t="s">
        <v>103</v>
      </c>
      <c r="C20" s="0" t="s">
        <v>113</v>
      </c>
      <c r="D20" s="0" t="s">
        <v>27</v>
      </c>
      <c r="E20" s="0" t="s">
        <v>105</v>
      </c>
      <c r="F20" s="0" t="s">
        <v>29</v>
      </c>
      <c r="G20" s="0" t="s">
        <v>114</v>
      </c>
      <c r="H20" s="0" t="s">
        <v>114</v>
      </c>
      <c r="I20" s="0" t="s">
        <v>115</v>
      </c>
      <c r="J20" s="0" t="s">
        <v>115</v>
      </c>
      <c r="K20" s="0" t="s">
        <v>116</v>
      </c>
      <c r="L20" s="0" t="s">
        <v>32</v>
      </c>
      <c r="M20" s="0" t="s">
        <v>61</v>
      </c>
      <c r="N20" s="0" t="s">
        <v>109</v>
      </c>
      <c r="O20" s="0" t="s">
        <v>110</v>
      </c>
      <c r="P20" s="0" t="s">
        <v>36</v>
      </c>
      <c r="Q20" s="0" t="s">
        <v>116</v>
      </c>
      <c r="R20" s="0" t="s">
        <v>113</v>
      </c>
      <c r="S20" s="0" t="s">
        <v>109</v>
      </c>
      <c r="T20" s="0">
        <f>HYPERLINK("https://ec-uat-storage.kldlms.com/ItemVariation/08DCC04C-162C-43E4-8A9B-1876B4AB7AEA/B88BB62A-A23A-42C5-B5FE-B493E92017AC.jpeg","Variant Image")</f>
      </c>
      <c r="U20" s="0">
        <f>HYPERLINK("https://ec-qa-storage.kldlms.com/Item/08DCC04C-162C-43E4-8A9B-1876B4AB7AEA/8E50A51E-676E-4959-8F7E-1235475F9441.jpeg","Thumbnail Image")</f>
      </c>
      <c r="V20" s="0">
        <f>HYPERLINK("https://ec-qa-storage.kldlms.com/ItemGallery/08DCC04C-162C-43E4-8A9B-1876B4AB7AEA/83F1C425-F24D-4273-A345-09432C87BBEA.jpeg","Gallery Image ")</f>
      </c>
      <c r="W20" s="0" t="s">
        <v>22</v>
      </c>
      <c r="X20" s="0" t="s">
        <v>117</v>
      </c>
    </row>
    <row r="21">
      <c r="A21" s="0" t="s">
        <v>103</v>
      </c>
      <c r="B21" s="0" t="s">
        <v>103</v>
      </c>
      <c r="C21" s="0" t="s">
        <v>118</v>
      </c>
      <c r="D21" s="0" t="s">
        <v>27</v>
      </c>
      <c r="E21" s="0" t="s">
        <v>105</v>
      </c>
      <c r="F21" s="0" t="s">
        <v>29</v>
      </c>
      <c r="G21" s="0" t="s">
        <v>106</v>
      </c>
      <c r="H21" s="0" t="s">
        <v>106</v>
      </c>
      <c r="I21" s="0" t="s">
        <v>119</v>
      </c>
      <c r="J21" s="0" t="s">
        <v>119</v>
      </c>
      <c r="K21" s="0" t="s">
        <v>120</v>
      </c>
      <c r="L21" s="0" t="s">
        <v>32</v>
      </c>
      <c r="M21" s="0" t="s">
        <v>61</v>
      </c>
      <c r="N21" s="0" t="s">
        <v>100</v>
      </c>
      <c r="O21" s="0" t="s">
        <v>35</v>
      </c>
      <c r="P21" s="0" t="s">
        <v>121</v>
      </c>
      <c r="Q21" s="0" t="s">
        <v>120</v>
      </c>
      <c r="R21" s="0" t="s">
        <v>118</v>
      </c>
      <c r="S21" s="0" t="s">
        <v>100</v>
      </c>
      <c r="T21" s="0">
        <f>HYPERLINK("https://ec-uat-storage.kldlms.com/ItemVariation/08DCC04D-297E-42F1-857C-51F2EF58B539/40253A44-5F51-466E-8396-131529A94953.webp","Variant Image")</f>
      </c>
      <c r="U21" s="0">
        <f>HYPERLINK("https://ec-qa-storage.kldlms.com/Item/08DCC04D-297E-42F1-857C-51F2EF58B539/7A697241-E796-4E36-9E6F-3E8770190E24.jpeg","Thumbnail Image")</f>
      </c>
      <c r="V21" s="0">
        <f>HYPERLINK("https://ec-qa-storage.kldlms.com/ItemGallery/08DCC04D-297E-42F1-857C-51F2EF58B539/984D8E2C-6132-4F6B-8378-590BE0C3C2A6.jpeg","Gallery Image ")</f>
      </c>
      <c r="W21" s="0" t="s">
        <v>22</v>
      </c>
    </row>
    <row r="22">
      <c r="A22" s="0" t="s">
        <v>103</v>
      </c>
      <c r="B22" s="0" t="s">
        <v>103</v>
      </c>
      <c r="C22" s="0" t="s">
        <v>122</v>
      </c>
      <c r="D22" s="0" t="s">
        <v>27</v>
      </c>
      <c r="E22" s="0" t="s">
        <v>105</v>
      </c>
      <c r="F22" s="0" t="s">
        <v>29</v>
      </c>
      <c r="G22" s="0" t="s">
        <v>106</v>
      </c>
      <c r="H22" s="0" t="s">
        <v>106</v>
      </c>
      <c r="I22" s="0" t="s">
        <v>123</v>
      </c>
      <c r="J22" s="0" t="s">
        <v>123</v>
      </c>
      <c r="K22" s="0" t="s">
        <v>124</v>
      </c>
      <c r="L22" s="0" t="s">
        <v>32</v>
      </c>
      <c r="M22" s="0" t="s">
        <v>61</v>
      </c>
      <c r="N22" s="0" t="s">
        <v>100</v>
      </c>
      <c r="O22" s="0" t="s">
        <v>110</v>
      </c>
      <c r="P22" s="0" t="s">
        <v>125</v>
      </c>
      <c r="Q22" s="0" t="s">
        <v>124</v>
      </c>
      <c r="R22" s="0" t="s">
        <v>122</v>
      </c>
      <c r="S22" s="0" t="s">
        <v>100</v>
      </c>
      <c r="T22" s="0">
        <f>HYPERLINK("https://ec-uat-storage.kldlms.com/ItemVariation/08DCC04E-36FA-4B5D-8262-0DA8CD763D20/EB32C276-4D34-4772-86FC-76634DD120F0.webp","Variant Image")</f>
      </c>
      <c r="U22" s="0">
        <f>HYPERLINK("https://ec-qa-storage.kldlms.com/Item/08DCC04E-36FA-4B5D-8262-0DA8CD763D20/6BC5EE5F-716C-4AF4-8F0A-A401D28B2784.jpeg","Thumbnail Image")</f>
      </c>
      <c r="V22" s="0">
        <f>HYPERLINK("https://ec-qa-storage.kldlms.com/ItemGallery/08DCC04E-36FA-4B5D-8262-0DA8CD763D20/6856917F-1194-4F47-8883-C1754CB103EF.jpeg","Gallery Image ")</f>
      </c>
      <c r="W22" s="0" t="s">
        <v>22</v>
      </c>
    </row>
    <row r="23">
      <c r="A23" s="0" t="s">
        <v>103</v>
      </c>
      <c r="B23" s="0" t="s">
        <v>103</v>
      </c>
      <c r="C23" s="0" t="s">
        <v>126</v>
      </c>
      <c r="D23" s="0" t="s">
        <v>27</v>
      </c>
      <c r="E23" s="0" t="s">
        <v>105</v>
      </c>
      <c r="F23" s="0" t="s">
        <v>29</v>
      </c>
      <c r="G23" s="0" t="s">
        <v>106</v>
      </c>
      <c r="H23" s="0" t="s">
        <v>106</v>
      </c>
      <c r="I23" s="0" t="s">
        <v>127</v>
      </c>
      <c r="J23" s="0" t="s">
        <v>127</v>
      </c>
      <c r="K23" s="0" t="s">
        <v>128</v>
      </c>
      <c r="L23" s="0" t="s">
        <v>32</v>
      </c>
      <c r="M23" s="0" t="s">
        <v>61</v>
      </c>
      <c r="N23" s="0" t="s">
        <v>100</v>
      </c>
      <c r="O23" s="0" t="s">
        <v>110</v>
      </c>
      <c r="P23" s="0" t="s">
        <v>111</v>
      </c>
      <c r="Q23" s="0" t="s">
        <v>128</v>
      </c>
      <c r="R23" s="0" t="s">
        <v>126</v>
      </c>
      <c r="S23" s="0" t="s">
        <v>100</v>
      </c>
      <c r="T23" s="0">
        <f>HYPERLINK("https://ec-uat-storage.kldlms.com/ItemVariation/08DCC04F-0500-42D0-8F6C-B7636F707951/5521F1CC-479C-49B4-B620-7DE5DA702D39.webp","Variant Image")</f>
      </c>
      <c r="U23" s="0">
        <f>HYPERLINK("https://ec-qa-storage.kldlms.com/Item/08DCC04F-0500-42D0-8F6C-B7636F707951/97A2E0EF-FB9F-4432-A237-469FC14123D8.jpeg","Thumbnail Image")</f>
      </c>
      <c r="V23" s="0">
        <f>HYPERLINK("https://ec-qa-storage.kldlms.com/ItemGallery/08DCC04F-0500-42D0-8F6C-B7636F707951/C7A852B1-F741-4592-B27C-94421077F416.jpeg","Gallery Image ")</f>
      </c>
      <c r="W23" s="0" t="s">
        <v>22</v>
      </c>
    </row>
    <row r="24">
      <c r="A24" s="0" t="s">
        <v>103</v>
      </c>
      <c r="B24" s="0" t="s">
        <v>103</v>
      </c>
      <c r="C24" s="0" t="s">
        <v>129</v>
      </c>
      <c r="D24" s="0" t="s">
        <v>27</v>
      </c>
      <c r="E24" s="0" t="s">
        <v>105</v>
      </c>
      <c r="F24" s="0" t="s">
        <v>29</v>
      </c>
      <c r="G24" s="0" t="s">
        <v>106</v>
      </c>
      <c r="H24" s="0" t="s">
        <v>106</v>
      </c>
      <c r="I24" s="0" t="s">
        <v>130</v>
      </c>
      <c r="J24" s="0" t="s">
        <v>130</v>
      </c>
      <c r="K24" s="0" t="s">
        <v>131</v>
      </c>
      <c r="L24" s="0" t="s">
        <v>32</v>
      </c>
      <c r="M24" s="0" t="s">
        <v>61</v>
      </c>
      <c r="N24" s="0" t="s">
        <v>100</v>
      </c>
      <c r="O24" s="0" t="s">
        <v>35</v>
      </c>
      <c r="P24" s="0" t="s">
        <v>125</v>
      </c>
      <c r="Q24" s="0" t="s">
        <v>131</v>
      </c>
      <c r="R24" s="0" t="s">
        <v>129</v>
      </c>
      <c r="S24" s="0" t="s">
        <v>100</v>
      </c>
      <c r="T24" s="0">
        <f>HYPERLINK("https://ec-uat-storage.kldlms.com/ItemVariation/08DCC055-72BF-4200-8C8E-3A0C000A30E0/8395C807-4C4F-4731-8F2E-599D8C552EF6.webp","Variant Image")</f>
      </c>
      <c r="U24" s="0">
        <f>HYPERLINK("https://ec-qa-storage.kldlms.com/Item/08DCC055-72BF-4200-8C8E-3A0C000A30E0/485156DF-9C6B-4B8E-BC9B-52148F2B655A.jpeg","Thumbnail Image")</f>
      </c>
      <c r="V24" s="0">
        <f>HYPERLINK("https://ec-qa-storage.kldlms.com/ItemGallery/08DCC055-72BF-4200-8C8E-3A0C000A30E0/E25602EB-CEF9-429E-8012-A32384E63427.jpeg","Gallery Image ")</f>
      </c>
      <c r="W24" s="0" t="s">
        <v>22</v>
      </c>
    </row>
    <row r="25">
      <c r="A25" s="0" t="s">
        <v>103</v>
      </c>
      <c r="B25" s="0" t="s">
        <v>103</v>
      </c>
      <c r="C25" s="0" t="s">
        <v>132</v>
      </c>
      <c r="D25" s="0" t="s">
        <v>27</v>
      </c>
      <c r="E25" s="0" t="s">
        <v>105</v>
      </c>
      <c r="F25" s="0" t="s">
        <v>29</v>
      </c>
      <c r="G25" s="0" t="s">
        <v>106</v>
      </c>
      <c r="H25" s="0" t="s">
        <v>106</v>
      </c>
      <c r="I25" s="0" t="s">
        <v>133</v>
      </c>
      <c r="J25" s="0" t="s">
        <v>133</v>
      </c>
      <c r="K25" s="0" t="s">
        <v>131</v>
      </c>
      <c r="L25" s="0" t="s">
        <v>32</v>
      </c>
      <c r="M25" s="0" t="s">
        <v>61</v>
      </c>
      <c r="N25" s="0" t="s">
        <v>100</v>
      </c>
      <c r="O25" s="0" t="s">
        <v>35</v>
      </c>
      <c r="P25" s="0" t="s">
        <v>134</v>
      </c>
      <c r="Q25" s="0" t="s">
        <v>131</v>
      </c>
      <c r="R25" s="0" t="s">
        <v>132</v>
      </c>
      <c r="S25" s="0" t="s">
        <v>100</v>
      </c>
      <c r="T25" s="0">
        <f>HYPERLINK("https://ec-uat-storage.kldlms.com/ItemVariation/08DCC056-5E12-46FD-8BA4-D385E4660AF8/A79E165D-82AD-4AC2-A065-ADD50618510D.webp","Variant Image")</f>
      </c>
      <c r="U25" s="0">
        <f>HYPERLINK("https://ec-qa-storage.kldlms.com/Item/08DCC056-5E12-46FD-8BA4-D385E4660AF8/8227D19D-3828-4B57-A700-A7648B2C3C3D.jpeg","Thumbnail Image")</f>
      </c>
      <c r="V25" s="0">
        <f>HYPERLINK("https://ec-qa-storage.kldlms.com/ItemGallery/08DCC056-5E12-46FD-8BA4-D385E4660AF8/D7D3DE54-804A-4CD8-BFAD-EC3BE718C5D2.jpeg","Gallery Image ")</f>
      </c>
      <c r="W25" s="0" t="s">
        <v>22</v>
      </c>
    </row>
    <row r="26">
      <c r="A26" s="0" t="s">
        <v>103</v>
      </c>
      <c r="B26" s="0" t="s">
        <v>103</v>
      </c>
      <c r="C26" s="0" t="s">
        <v>135</v>
      </c>
      <c r="D26" s="0" t="s">
        <v>27</v>
      </c>
      <c r="E26" s="0" t="s">
        <v>105</v>
      </c>
      <c r="F26" s="0" t="s">
        <v>29</v>
      </c>
      <c r="G26" s="0" t="s">
        <v>136</v>
      </c>
      <c r="H26" s="0" t="s">
        <v>136</v>
      </c>
      <c r="I26" s="0" t="s">
        <v>137</v>
      </c>
      <c r="J26" s="0" t="s">
        <v>138</v>
      </c>
      <c r="K26" s="0" t="s">
        <v>139</v>
      </c>
      <c r="L26" s="0" t="s">
        <v>32</v>
      </c>
      <c r="M26" s="0" t="s">
        <v>61</v>
      </c>
      <c r="N26" s="0" t="s">
        <v>140</v>
      </c>
      <c r="O26" s="0" t="s">
        <v>110</v>
      </c>
      <c r="P26" s="0" t="s">
        <v>125</v>
      </c>
      <c r="Q26" s="0" t="s">
        <v>141</v>
      </c>
      <c r="R26" s="0" t="s">
        <v>129</v>
      </c>
      <c r="S26" s="0" t="s">
        <v>142</v>
      </c>
      <c r="T26" s="0">
        <f>HYPERLINK("https://storage.sslt.ae/ItemVariation/08DCC057-AE31-4C6F-825C-0531E3FC6703/BCA1DA4C-2160-4E04-A063-BA3CE7A1C7C5.webp","Variant Image")</f>
      </c>
      <c r="U26" s="0">
        <f>HYPERLINK("https://ec-qa-storage.kldlms.com/Item/08DCC057-AE31-4C6F-825C-0531E3FC6703/4BB60A44-8C8C-452E-965F-7F30CF1E1A90.jpeg","Thumbnail Image")</f>
      </c>
      <c r="V26" s="0">
        <f>HYPERLINK("https://ec-qa-storage.kldlms.com/ItemGallery/08DCC057-AE31-4C6F-825C-0531E3FC6703/A523957C-917A-4668-9713-FD7ABD9FC6C4.jpeg","Gallery Image ")</f>
      </c>
      <c r="W26" s="0" t="s">
        <v>22</v>
      </c>
      <c r="X26" s="0" t="s">
        <v>143</v>
      </c>
    </row>
    <row r="27">
      <c r="P27" s="0" t="s">
        <v>134</v>
      </c>
      <c r="Q27" s="0" t="s">
        <v>139</v>
      </c>
      <c r="R27" s="0" t="s">
        <v>135</v>
      </c>
      <c r="S27" s="0" t="s">
        <v>140</v>
      </c>
      <c r="T27" s="0">
        <f>HYPERLINK("https://storage.sslt.ae/ItemVariation/08DCC057-AE31-4C6F-825C-0531E3FC6703/7EDB3CA8-6DFE-4907-8CD2-9A5AEF75BAAE.webp","Variant Image")</f>
      </c>
      <c r="X27" s="0" t="s">
        <v>144</v>
      </c>
    </row>
    <row r="28">
      <c r="P28" s="0" t="s">
        <v>111</v>
      </c>
      <c r="Q28" s="0" t="s">
        <v>139</v>
      </c>
      <c r="R28" s="0" t="s">
        <v>126</v>
      </c>
      <c r="S28" s="0" t="s">
        <v>109</v>
      </c>
      <c r="T28" s="0">
        <f>HYPERLINK("https://storage.sslt.ae/ItemVariation/08DCC057-AE31-4C6F-825C-0531E3FC6703/39EF2333-7A35-4025-A804-8909006700E9.webp","Variant Image")</f>
      </c>
      <c r="X28" s="0" t="s">
        <v>145</v>
      </c>
    </row>
    <row r="29">
      <c r="A29" s="0" t="s">
        <v>103</v>
      </c>
      <c r="B29" s="0" t="s">
        <v>103</v>
      </c>
      <c r="C29" s="0" t="s">
        <v>146</v>
      </c>
      <c r="D29" s="0" t="s">
        <v>27</v>
      </c>
      <c r="E29" s="0" t="s">
        <v>105</v>
      </c>
      <c r="F29" s="0" t="s">
        <v>29</v>
      </c>
      <c r="G29" s="0" t="s">
        <v>106</v>
      </c>
      <c r="H29" s="0" t="s">
        <v>106</v>
      </c>
      <c r="I29" s="0" t="s">
        <v>147</v>
      </c>
      <c r="J29" s="0" t="s">
        <v>147</v>
      </c>
      <c r="K29" s="0" t="s">
        <v>148</v>
      </c>
      <c r="L29" s="0" t="s">
        <v>32</v>
      </c>
      <c r="M29" s="0" t="s">
        <v>61</v>
      </c>
      <c r="N29" s="0" t="s">
        <v>100</v>
      </c>
      <c r="O29" s="0" t="s">
        <v>35</v>
      </c>
      <c r="P29" s="0" t="s">
        <v>36</v>
      </c>
      <c r="Q29" s="0" t="s">
        <v>148</v>
      </c>
      <c r="R29" s="0" t="s">
        <v>146</v>
      </c>
      <c r="S29" s="0" t="s">
        <v>100</v>
      </c>
      <c r="T29" s="0">
        <f>HYPERLINK("https://ec-uat-storage.kldlms.com/ItemVariation/08DCC05C-5E57-436D-8C70-61F044ECCD94/6D4636BF-EBC4-43E1-96EF-D719699D37B5.webp","Variant Image")</f>
      </c>
      <c r="U29" s="0">
        <f>HYPERLINK("https://ec-qa-storage.kldlms.com/Item/08DCC05C-5E57-436D-8C70-61F044ECCD94/61F70A1F-1397-42B4-B71B-434DB0111FD0.jpeg","Thumbnail Image")</f>
      </c>
      <c r="V29" s="0">
        <f>HYPERLINK("https://ec-qa-storage.kldlms.com/ItemGallery/08DCC05C-5E57-436D-8C70-61F044ECCD94/86276E2D-2563-490C-B7EE-B32D50766FD9.jpeg","Gallery Image ")</f>
      </c>
      <c r="W29" s="0" t="s">
        <v>22</v>
      </c>
    </row>
    <row r="30">
      <c r="A30" s="0" t="s">
        <v>103</v>
      </c>
      <c r="B30" s="0" t="s">
        <v>103</v>
      </c>
      <c r="C30" s="0" t="s">
        <v>149</v>
      </c>
      <c r="D30" s="0" t="s">
        <v>27</v>
      </c>
      <c r="E30" s="0" t="s">
        <v>105</v>
      </c>
      <c r="F30" s="0" t="s">
        <v>29</v>
      </c>
      <c r="G30" s="0" t="s">
        <v>106</v>
      </c>
      <c r="H30" s="0" t="s">
        <v>106</v>
      </c>
      <c r="I30" s="0" t="s">
        <v>150</v>
      </c>
      <c r="J30" s="0" t="s">
        <v>150</v>
      </c>
      <c r="K30" s="0" t="s">
        <v>151</v>
      </c>
      <c r="L30" s="0" t="s">
        <v>32</v>
      </c>
      <c r="M30" s="0" t="s">
        <v>61</v>
      </c>
      <c r="N30" s="0" t="s">
        <v>100</v>
      </c>
      <c r="O30" s="0" t="s">
        <v>35</v>
      </c>
      <c r="P30" s="0" t="s">
        <v>36</v>
      </c>
      <c r="Q30" s="0" t="s">
        <v>151</v>
      </c>
      <c r="R30" s="0" t="s">
        <v>149</v>
      </c>
      <c r="S30" s="0" t="s">
        <v>100</v>
      </c>
      <c r="T30" s="0">
        <f>HYPERLINK("https://ec-uat-storage.kldlms.com/ItemVariation/08DCC05E-2490-45C7-8613-1BE79E2E7993/8E36F0C6-C326-4945-97E9-207656E89905.webp","Variant Image")</f>
      </c>
      <c r="U30" s="0">
        <f>HYPERLINK("https://ec-qa-storage.kldlms.com/Item/08DCC05E-2490-45C7-8613-1BE79E2E7993/789F6691-B9B0-4C36-813C-AD3B8CE681BB.jpeg","Thumbnail Image")</f>
      </c>
      <c r="V30" s="0">
        <f>HYPERLINK("https://ec-qa-storage.kldlms.com/ItemGallery/08DCC05E-2490-45C7-8613-1BE79E2E7993/59407248-065C-4CF0-A2E8-EFE6FEE1985D.jpeg","Gallery Image ")</f>
      </c>
      <c r="W30" s="0" t="s">
        <v>22</v>
      </c>
    </row>
    <row r="31">
      <c r="A31" s="0" t="s">
        <v>103</v>
      </c>
      <c r="B31" s="0" t="s">
        <v>103</v>
      </c>
      <c r="C31" s="0" t="s">
        <v>152</v>
      </c>
      <c r="D31" s="0" t="s">
        <v>27</v>
      </c>
      <c r="E31" s="0" t="s">
        <v>105</v>
      </c>
      <c r="F31" s="0" t="s">
        <v>29</v>
      </c>
      <c r="G31" s="0" t="s">
        <v>106</v>
      </c>
      <c r="H31" s="0" t="s">
        <v>106</v>
      </c>
      <c r="I31" s="0" t="s">
        <v>153</v>
      </c>
      <c r="J31" s="0" t="s">
        <v>153</v>
      </c>
      <c r="K31" s="0" t="s">
        <v>154</v>
      </c>
      <c r="L31" s="0" t="s">
        <v>32</v>
      </c>
      <c r="M31" s="0" t="s">
        <v>61</v>
      </c>
      <c r="N31" s="0" t="s">
        <v>155</v>
      </c>
      <c r="O31" s="0" t="s">
        <v>110</v>
      </c>
      <c r="P31" s="0" t="s">
        <v>111</v>
      </c>
      <c r="Q31" s="0" t="s">
        <v>154</v>
      </c>
      <c r="R31" s="0" t="s">
        <v>152</v>
      </c>
      <c r="S31" s="0" t="s">
        <v>155</v>
      </c>
      <c r="T31" s="0">
        <f>HYPERLINK("https://storage.sslt.ae/ItemVariation/08DCC05F-798C-4F43-8019-7DFD1C1FCF13/E1DDFFEB-73A9-4C62-AD69-1A42B04FB067.webp","Variant Image")</f>
      </c>
      <c r="U31" s="0">
        <f>HYPERLINK("https://ec-qa-storage.kldlms.com/Item/08DCC05F-798C-4F43-8019-7DFD1C1FCF13/D713C610-3880-4FA7-89C4-6E45D61ED407.jpeg","Thumbnail Image")</f>
      </c>
      <c r="V31" s="0">
        <f>HYPERLINK("https://ec-qa-storage.kldlms.com/ItemGallery/08DCC05F-798C-4F43-8019-7DFD1C1FCF13/0230A17E-58DC-4ACD-88D3-C40B3E1B23F0.jpeg","Gallery Image ")</f>
      </c>
      <c r="W31" s="0" t="s">
        <v>22</v>
      </c>
      <c r="X31" s="0" t="s">
        <v>156</v>
      </c>
    </row>
    <row r="32">
      <c r="P32" s="0" t="s">
        <v>125</v>
      </c>
      <c r="Q32" s="0" t="s">
        <v>157</v>
      </c>
      <c r="R32" s="0" t="s">
        <v>122</v>
      </c>
      <c r="S32" s="0" t="s">
        <v>109</v>
      </c>
      <c r="T32" s="0">
        <f>HYPERLINK("https://storage.sslt.ae/ItemVariation/08DCC05F-798C-4F43-8019-7DFD1C1FCF13/B9E6B4C6-0EC0-4A2C-A9A5-12EB409086E1.webp","Variant Image")</f>
      </c>
      <c r="X32" s="0" t="s">
        <v>158</v>
      </c>
    </row>
    <row r="33">
      <c r="P33" s="0" t="s">
        <v>36</v>
      </c>
      <c r="Q33" s="0" t="s">
        <v>159</v>
      </c>
      <c r="R33" s="0" t="s">
        <v>146</v>
      </c>
      <c r="S33" s="0" t="s">
        <v>160</v>
      </c>
      <c r="T33" s="0">
        <f>HYPERLINK("https://storage.sslt.ae/ItemVariation/08DCC05F-798C-4F43-8019-7DFD1C1FCF13/6C4F7DCD-0A97-4E96-B523-A4FBB9C60835.webp","Variant Image")</f>
      </c>
      <c r="X33" s="0" t="s">
        <v>161</v>
      </c>
    </row>
    <row r="34">
      <c r="A34" s="0" t="s">
        <v>103</v>
      </c>
      <c r="B34" s="0" t="s">
        <v>103</v>
      </c>
      <c r="C34" s="0" t="s">
        <v>162</v>
      </c>
      <c r="D34" s="0" t="s">
        <v>27</v>
      </c>
      <c r="E34" s="0" t="s">
        <v>105</v>
      </c>
      <c r="F34" s="0" t="s">
        <v>29</v>
      </c>
      <c r="G34" s="0" t="s">
        <v>106</v>
      </c>
      <c r="H34" s="0" t="s">
        <v>106</v>
      </c>
      <c r="I34" s="0" t="s">
        <v>163</v>
      </c>
      <c r="J34" s="0" t="s">
        <v>163</v>
      </c>
      <c r="K34" s="0" t="s">
        <v>157</v>
      </c>
      <c r="L34" s="0" t="s">
        <v>32</v>
      </c>
      <c r="M34" s="0" t="s">
        <v>61</v>
      </c>
      <c r="N34" s="0" t="s">
        <v>164</v>
      </c>
      <c r="O34" s="0" t="s">
        <v>110</v>
      </c>
      <c r="P34" s="0" t="s">
        <v>125</v>
      </c>
      <c r="Q34" s="0" t="s">
        <v>157</v>
      </c>
      <c r="R34" s="0" t="s">
        <v>162</v>
      </c>
      <c r="S34" s="0" t="s">
        <v>164</v>
      </c>
      <c r="T34" s="0">
        <f>HYPERLINK("https://storage.sslt.ae/ItemVariation/08DCC0DA-43F6-4059-848C-5C0668E921F1/80EECF64-E222-42C5-B616-35677836D4E3.webp","Variant Image")</f>
      </c>
      <c r="U34" s="0">
        <f>HYPERLINK("https://ec-qa-storage.kldlms.com/Item/08DCC0DA-43F6-4059-848C-5C0668E921F1/784B98C9-D33D-46B0-ABB1-E9ECF4189165.jpeg","Thumbnail Image")</f>
      </c>
      <c r="V34" s="0">
        <f>HYPERLINK("https://ec-qa-storage.kldlms.com/ItemGallery/08DCC0DA-43F6-4059-848C-5C0668E921F1/59C119E5-3AD1-4299-BE73-E5D9D2EE40FB.jpeg","Gallery Image ")</f>
      </c>
      <c r="W34" s="0" t="s">
        <v>22</v>
      </c>
      <c r="X34" s="0" t="s">
        <v>165</v>
      </c>
    </row>
    <row r="35">
      <c r="P35" s="0" t="s">
        <v>134</v>
      </c>
      <c r="Q35" s="0" t="s">
        <v>166</v>
      </c>
      <c r="R35" s="0" t="s">
        <v>132</v>
      </c>
      <c r="S35" s="0" t="s">
        <v>142</v>
      </c>
      <c r="T35" s="0">
        <f>HYPERLINK("https://storage.sslt.ae/ItemVariation/08DCC0DA-43F6-4059-848C-5C0668E921F1/7C1B03C3-F169-421C-82F0-18AB004062F6.jpeg","Variant Image")</f>
      </c>
      <c r="X35" s="0" t="s">
        <v>167</v>
      </c>
    </row>
    <row r="36">
      <c r="P36" s="0" t="s">
        <v>36</v>
      </c>
      <c r="Q36" s="0" t="s">
        <v>168</v>
      </c>
      <c r="R36" s="0" t="s">
        <v>149</v>
      </c>
      <c r="S36" s="0" t="s">
        <v>160</v>
      </c>
      <c r="T36" s="0">
        <f>HYPERLINK("https://storage.sslt.ae/ItemVariation/08DCC0DA-43F6-4059-848C-5C0668E921F1/BDB43573-2F2B-4695-BC1A-F055E250A6F4.webp","Variant Image")</f>
      </c>
      <c r="X36" s="0" t="s">
        <v>169</v>
      </c>
    </row>
    <row r="37">
      <c r="A37" s="0" t="s">
        <v>170</v>
      </c>
      <c r="B37" s="0" t="s">
        <v>170</v>
      </c>
      <c r="C37" s="0" t="s">
        <v>171</v>
      </c>
      <c r="D37" s="0" t="s">
        <v>27</v>
      </c>
      <c r="E37" s="0" t="s">
        <v>105</v>
      </c>
      <c r="F37" s="0" t="s">
        <v>29</v>
      </c>
      <c r="G37" s="0" t="s">
        <v>172</v>
      </c>
      <c r="H37" s="0" t="s">
        <v>172</v>
      </c>
      <c r="I37" s="0" t="s">
        <v>173</v>
      </c>
      <c r="J37" s="0" t="s">
        <v>173</v>
      </c>
      <c r="K37" s="0" t="s">
        <v>174</v>
      </c>
      <c r="L37" s="0" t="s">
        <v>32</v>
      </c>
      <c r="M37" s="0" t="s">
        <v>61</v>
      </c>
      <c r="N37" s="0" t="s">
        <v>100</v>
      </c>
      <c r="O37" s="0" t="s">
        <v>35</v>
      </c>
      <c r="P37" s="0" t="s">
        <v>175</v>
      </c>
      <c r="Q37" s="0" t="s">
        <v>174</v>
      </c>
      <c r="R37" s="0" t="s">
        <v>171</v>
      </c>
      <c r="S37" s="0" t="s">
        <v>100</v>
      </c>
      <c r="T37" s="0">
        <f>HYPERLINK("https://ec-uat-storage.kldlms.com/ItemVariation/08DCC0DC-EFC5-424B-8384-FB0A7F7BE592/32417AB2-8FA8-4D43-BA46-9A888877CB06.webp","Variant Image")</f>
      </c>
      <c r="U37" s="0">
        <f>HYPERLINK("https://ec-qa-storage.kldlms.com/Item/08DCC0DC-EFC5-424B-8384-FB0A7F7BE592/DEA456D7-D18F-404D-8AF0-71D66E07F9B2.jpeg","Thumbnail Image")</f>
      </c>
      <c r="V37" s="0">
        <f>HYPERLINK("https://ec-qa-storage.kldlms.com/ItemGallery/08DCC0DC-EFC5-424B-8384-FB0A7F7BE592/980F6291-12D8-48AE-BC52-74B95460CFE5.jpeg","Gallery Image ")</f>
      </c>
      <c r="W37" s="0" t="s">
        <v>22</v>
      </c>
    </row>
    <row r="38">
      <c r="A38" s="0" t="s">
        <v>170</v>
      </c>
      <c r="B38" s="0" t="s">
        <v>170</v>
      </c>
      <c r="C38" s="0" t="s">
        <v>176</v>
      </c>
      <c r="D38" s="0" t="s">
        <v>27</v>
      </c>
      <c r="E38" s="0" t="s">
        <v>105</v>
      </c>
      <c r="F38" s="0" t="s">
        <v>29</v>
      </c>
      <c r="G38" s="0" t="s">
        <v>172</v>
      </c>
      <c r="H38" s="0" t="s">
        <v>172</v>
      </c>
      <c r="I38" s="0" t="s">
        <v>177</v>
      </c>
      <c r="J38" s="0" t="s">
        <v>177</v>
      </c>
      <c r="K38" s="0" t="s">
        <v>128</v>
      </c>
      <c r="L38" s="0" t="s">
        <v>32</v>
      </c>
      <c r="M38" s="0" t="s">
        <v>61</v>
      </c>
      <c r="N38" s="0" t="s">
        <v>100</v>
      </c>
      <c r="O38" s="0" t="s">
        <v>35</v>
      </c>
      <c r="P38" s="0" t="s">
        <v>125</v>
      </c>
      <c r="Q38" s="0" t="s">
        <v>128</v>
      </c>
      <c r="R38" s="0" t="s">
        <v>176</v>
      </c>
      <c r="S38" s="0" t="s">
        <v>100</v>
      </c>
      <c r="T38" s="0">
        <f>HYPERLINK("https://ec-uat-storage.kldlms.com/ItemVariation/08DCC108-9E69-4AB3-8ADB-B0232DB90DE7/730F27F7-D51F-4F49-989A-931B5EBB040A.jpeg","Variant Image")</f>
      </c>
      <c r="U38" s="0">
        <f>HYPERLINK("https://ec-qa-storage.kldlms.com/Item/08DCC108-9E69-4AB3-8ADB-B0232DB90DE7/49AAEE46-D4A1-4E4B-B738-6F9F7A769FB5.jpeg","Thumbnail Image")</f>
      </c>
      <c r="V38" s="0">
        <f>HYPERLINK("https://ec-qa-storage.kldlms.com/ItemGallery/08DCC108-9E69-4AB3-8ADB-B0232DB90DE7/50D25A55-D4C3-4E68-A79D-236AF44EEBB7.jpeg","Gallery Image ")</f>
      </c>
      <c r="W38" s="0" t="s">
        <v>22</v>
      </c>
    </row>
    <row r="39">
      <c r="A39" s="0" t="s">
        <v>170</v>
      </c>
      <c r="B39" s="0" t="s">
        <v>170</v>
      </c>
      <c r="C39" s="0" t="s">
        <v>178</v>
      </c>
      <c r="D39" s="0" t="s">
        <v>27</v>
      </c>
      <c r="E39" s="0" t="s">
        <v>105</v>
      </c>
      <c r="F39" s="0" t="s">
        <v>29</v>
      </c>
      <c r="G39" s="0" t="s">
        <v>179</v>
      </c>
      <c r="H39" s="0" t="s">
        <v>179</v>
      </c>
      <c r="I39" s="0" t="s">
        <v>180</v>
      </c>
      <c r="J39" s="0" t="s">
        <v>180</v>
      </c>
      <c r="K39" s="0" t="s">
        <v>148</v>
      </c>
      <c r="L39" s="0" t="s">
        <v>32</v>
      </c>
      <c r="M39" s="0" t="s">
        <v>61</v>
      </c>
      <c r="N39" s="0" t="s">
        <v>100</v>
      </c>
      <c r="O39" s="0" t="s">
        <v>110</v>
      </c>
      <c r="P39" s="0" t="s">
        <v>36</v>
      </c>
      <c r="Q39" s="0" t="s">
        <v>148</v>
      </c>
      <c r="R39" s="0" t="s">
        <v>178</v>
      </c>
      <c r="S39" s="0" t="s">
        <v>100</v>
      </c>
      <c r="T39" s="0">
        <f>HYPERLINK("https://ec-uat-storage.kldlms.com/ItemVariation/08DCC10B-0633-4D75-81AC-BA57E2DF880D/0ADF734C-BFBE-41AF-90A1-44D867535D54.jpeg","Variant Image")</f>
      </c>
      <c r="U39" s="0">
        <f>HYPERLINK("https://ec-qa-storage.kldlms.com/Item/08DCC10B-0633-4D75-81AC-BA57E2DF880D/31B68DC7-C63A-4734-B978-143AFC14C00C.jpeg","Thumbnail Image")</f>
      </c>
      <c r="V39" s="0">
        <f>HYPERLINK("https://ec-qa-storage.kldlms.com/ItemGallery/08DCC10B-0633-4D75-81AC-BA57E2DF880D/3BBDE854-2DDB-4F66-BD4A-B0B4CFF029EA.jpeg","Gallery Image ")</f>
      </c>
      <c r="W39" s="0" t="s">
        <v>22</v>
      </c>
    </row>
    <row r="40">
      <c r="A40" s="0" t="s">
        <v>170</v>
      </c>
      <c r="B40" s="0" t="s">
        <v>170</v>
      </c>
      <c r="C40" s="0" t="s">
        <v>181</v>
      </c>
      <c r="D40" s="0" t="s">
        <v>27</v>
      </c>
      <c r="E40" s="0" t="s">
        <v>105</v>
      </c>
      <c r="F40" s="0" t="s">
        <v>29</v>
      </c>
      <c r="G40" s="0" t="s">
        <v>182</v>
      </c>
      <c r="H40" s="0" t="s">
        <v>182</v>
      </c>
      <c r="I40" s="0" t="s">
        <v>183</v>
      </c>
      <c r="J40" s="0" t="s">
        <v>183</v>
      </c>
      <c r="K40" s="0" t="s">
        <v>131</v>
      </c>
      <c r="L40" s="0" t="s">
        <v>32</v>
      </c>
      <c r="M40" s="0" t="s">
        <v>61</v>
      </c>
      <c r="N40" s="0" t="s">
        <v>100</v>
      </c>
      <c r="O40" s="0" t="s">
        <v>35</v>
      </c>
      <c r="P40" s="0" t="s">
        <v>36</v>
      </c>
      <c r="Q40" s="0" t="s">
        <v>131</v>
      </c>
      <c r="R40" s="0" t="s">
        <v>181</v>
      </c>
      <c r="S40" s="0" t="s">
        <v>100</v>
      </c>
      <c r="T40" s="0">
        <f>HYPERLINK("https://ec-uat-storage.kldlms.com/ItemVariation/08DCC10B-A9D3-4B36-84E2-DDF2F42C281A/70E64FF6-FFC7-4172-8A90-CB8B7FE8C3D7.jpeg","Variant Image")</f>
      </c>
      <c r="U40" s="0">
        <f>HYPERLINK("https://ec-qa-storage.kldlms.com/Item/08DCC10B-A9D3-4B36-84E2-DDF2F42C281A/8EA637FA-DD14-41D4-BE1D-0741557F4EC2.jpeg","Thumbnail Image")</f>
      </c>
      <c r="V40" s="0">
        <f>HYPERLINK("https://ec-qa-storage.kldlms.com/ItemGallery/08DCC10B-A9D3-4B36-84E2-DDF2F42C281A/66817953-524C-4242-A6D1-9F324BFDD74F.jpeg","Gallery Image ")</f>
      </c>
      <c r="W40" s="0" t="s">
        <v>22</v>
      </c>
    </row>
    <row r="41">
      <c r="A41" s="0" t="s">
        <v>170</v>
      </c>
      <c r="B41" s="0" t="s">
        <v>170</v>
      </c>
      <c r="C41" s="0" t="s">
        <v>184</v>
      </c>
      <c r="D41" s="0" t="s">
        <v>27</v>
      </c>
      <c r="E41" s="0" t="s">
        <v>105</v>
      </c>
      <c r="F41" s="0" t="s">
        <v>29</v>
      </c>
      <c r="G41" s="0" t="s">
        <v>179</v>
      </c>
      <c r="H41" s="0" t="s">
        <v>179</v>
      </c>
      <c r="I41" s="0" t="s">
        <v>185</v>
      </c>
      <c r="J41" s="0" t="s">
        <v>185</v>
      </c>
      <c r="K41" s="0" t="s">
        <v>174</v>
      </c>
      <c r="L41" s="0" t="s">
        <v>32</v>
      </c>
      <c r="M41" s="0" t="s">
        <v>61</v>
      </c>
      <c r="N41" s="0" t="s">
        <v>100</v>
      </c>
      <c r="O41" s="0" t="s">
        <v>35</v>
      </c>
      <c r="P41" s="0" t="s">
        <v>175</v>
      </c>
      <c r="Q41" s="0" t="s">
        <v>174</v>
      </c>
      <c r="R41" s="0" t="s">
        <v>184</v>
      </c>
      <c r="S41" s="0" t="s">
        <v>100</v>
      </c>
      <c r="T41" s="0">
        <f>HYPERLINK("https://ec-uat-storage.kldlms.com/ItemVariation/08DCC10C-E130-4437-8E51-63E2A073D38B/C7BE302E-25FB-48C7-BD00-C8245039ED71.jpeg","Variant Image")</f>
      </c>
      <c r="U41" s="0">
        <f>HYPERLINK("https://ec-qa-storage.kldlms.com/Item/08DCC10C-E130-4437-8E51-63E2A073D38B/A0AF0382-8FA6-4E86-BDF1-18AFB3BBF24F.jpeg","Thumbnail Image")</f>
      </c>
      <c r="V41" s="0">
        <f>HYPERLINK("https://ec-qa-storage.kldlms.com/ItemGallery/08DCC10C-E130-4437-8E51-63E2A073D38B/3155AB53-25B4-4C6A-835E-9BC0F496CAA2.jpeg","Gallery Image ")</f>
      </c>
      <c r="W41" s="0" t="s">
        <v>22</v>
      </c>
    </row>
    <row r="42">
      <c r="A42" s="0" t="s">
        <v>170</v>
      </c>
      <c r="B42" s="0" t="s">
        <v>170</v>
      </c>
      <c r="C42" s="0" t="s">
        <v>186</v>
      </c>
      <c r="D42" s="0" t="s">
        <v>27</v>
      </c>
      <c r="E42" s="0" t="s">
        <v>105</v>
      </c>
      <c r="F42" s="0" t="s">
        <v>29</v>
      </c>
      <c r="G42" s="0" t="s">
        <v>187</v>
      </c>
      <c r="H42" s="0" t="s">
        <v>187</v>
      </c>
      <c r="I42" s="0" t="s">
        <v>188</v>
      </c>
      <c r="J42" s="0" t="s">
        <v>188</v>
      </c>
      <c r="K42" s="0" t="s">
        <v>131</v>
      </c>
      <c r="L42" s="0" t="s">
        <v>32</v>
      </c>
      <c r="M42" s="0" t="s">
        <v>61</v>
      </c>
      <c r="N42" s="0" t="s">
        <v>100</v>
      </c>
      <c r="O42" s="0" t="s">
        <v>110</v>
      </c>
      <c r="P42" s="0" t="s">
        <v>36</v>
      </c>
      <c r="Q42" s="0" t="s">
        <v>131</v>
      </c>
      <c r="R42" s="0" t="s">
        <v>186</v>
      </c>
      <c r="S42" s="0" t="s">
        <v>100</v>
      </c>
      <c r="T42" s="0">
        <f>HYPERLINK("https://ec-uat-storage.kldlms.com/ItemVariation/08DCC10E-0AD3-4278-89D0-C71F932C7232/E7A190BF-C51F-4D7E-B1DC-168FD3DE4D5E.jpeg","Variant Image")</f>
      </c>
      <c r="U42" s="0">
        <f>HYPERLINK("https://ec-qa-storage.kldlms.com/Item/08DCC10E-0AD3-4278-89D0-C71F932C7232/6DE93FC9-00C5-43A2-9768-A00BF88E38F0.jpeg","Thumbnail Image")</f>
      </c>
      <c r="V42" s="0">
        <f>HYPERLINK("https://ec-qa-storage.kldlms.com/ItemGallery/08DCC10E-0AD3-4278-89D0-C71F932C7232/8034FAA2-DE4B-44AF-BA4D-E3B6B4DC3E53.png","Gallery Image ")</f>
      </c>
      <c r="W42" s="0" t="s">
        <v>22</v>
      </c>
    </row>
    <row r="43">
      <c r="A43" s="0" t="s">
        <v>170</v>
      </c>
      <c r="B43" s="0" t="s">
        <v>170</v>
      </c>
      <c r="C43" s="0" t="s">
        <v>189</v>
      </c>
      <c r="D43" s="0" t="s">
        <v>27</v>
      </c>
      <c r="E43" s="0" t="s">
        <v>105</v>
      </c>
      <c r="F43" s="0" t="s">
        <v>29</v>
      </c>
      <c r="G43" s="0" t="s">
        <v>179</v>
      </c>
      <c r="H43" s="0" t="s">
        <v>179</v>
      </c>
      <c r="I43" s="0" t="s">
        <v>190</v>
      </c>
      <c r="J43" s="0" t="s">
        <v>190</v>
      </c>
      <c r="K43" s="0" t="s">
        <v>151</v>
      </c>
      <c r="L43" s="0" t="s">
        <v>32</v>
      </c>
      <c r="M43" s="0" t="s">
        <v>33</v>
      </c>
      <c r="N43" s="0" t="s">
        <v>100</v>
      </c>
      <c r="O43" s="0" t="s">
        <v>110</v>
      </c>
      <c r="P43" s="0" t="s">
        <v>125</v>
      </c>
      <c r="Q43" s="0" t="s">
        <v>151</v>
      </c>
      <c r="R43" s="0" t="s">
        <v>189</v>
      </c>
      <c r="S43" s="0" t="s">
        <v>100</v>
      </c>
      <c r="T43" s="0">
        <f>HYPERLINK("https://ec-uat-storage.kldlms.com/ItemVariation/08DCC110-697A-4767-81AD-6D2E073852CA/28C216E2-A9CC-4F0D-ADE9-FF2006CFF721.jpeg","Variant Image")</f>
      </c>
      <c r="U43" s="0">
        <f>HYPERLINK("https://ec-qa-storage.kldlms.com/Item/08DCC110-697A-4767-81AD-6D2E073852CA/BAAEE5A5-FBFA-437A-8796-AF8FA79732DF.jpeg","Thumbnail Image")</f>
      </c>
      <c r="V43" s="0">
        <f>HYPERLINK("https://ec-qa-storage.kldlms.com/ItemGallery/08DCC110-697A-4767-81AD-6D2E073852CA/0D04AB12-4137-4227-811E-FC5658B54113.jpeg","Gallery Image ")</f>
      </c>
      <c r="W43" s="0" t="s">
        <v>22</v>
      </c>
    </row>
    <row r="44">
      <c r="A44" s="0" t="s">
        <v>170</v>
      </c>
      <c r="B44" s="0" t="s">
        <v>170</v>
      </c>
      <c r="C44" s="0" t="s">
        <v>191</v>
      </c>
      <c r="D44" s="0" t="s">
        <v>27</v>
      </c>
      <c r="E44" s="0" t="s">
        <v>105</v>
      </c>
      <c r="F44" s="0" t="s">
        <v>29</v>
      </c>
      <c r="G44" s="0" t="s">
        <v>182</v>
      </c>
      <c r="H44" s="0" t="s">
        <v>182</v>
      </c>
      <c r="I44" s="0" t="s">
        <v>192</v>
      </c>
      <c r="J44" s="0" t="s">
        <v>192</v>
      </c>
      <c r="K44" s="0" t="s">
        <v>128</v>
      </c>
      <c r="L44" s="0" t="s">
        <v>32</v>
      </c>
      <c r="M44" s="0" t="s">
        <v>33</v>
      </c>
      <c r="N44" s="0" t="s">
        <v>100</v>
      </c>
      <c r="O44" s="0" t="s">
        <v>35</v>
      </c>
      <c r="P44" s="0" t="s">
        <v>193</v>
      </c>
      <c r="Q44" s="0" t="s">
        <v>128</v>
      </c>
      <c r="R44" s="0" t="s">
        <v>191</v>
      </c>
      <c r="S44" s="0" t="s">
        <v>100</v>
      </c>
      <c r="T44" s="0">
        <f>HYPERLINK("https://ec-uat-storage.kldlms.com/ItemVariation/08DCC111-F423-4041-8952-BAC470855FEA/7FB0B1DB-FA84-40E5-A46A-00E0D2A24765.jpeg","Variant Image")</f>
      </c>
      <c r="U44" s="0">
        <f>HYPERLINK("https://ec-qa-storage.kldlms.com/Item/08DCC111-F423-4041-8952-BAC470855FEA/2561E064-96A3-4DB1-B3D1-90C57BBEF606.jpeg","Thumbnail Image")</f>
      </c>
      <c r="V44" s="0">
        <f>HYPERLINK("https://ec-qa-storage.kldlms.com/ItemGallery/08DCC111-F423-4041-8952-BAC470855FEA/14DB9350-C432-4254-AC48-C3029CAD632A.png","Gallery Image ")</f>
      </c>
      <c r="W44" s="0" t="s">
        <v>22</v>
      </c>
    </row>
    <row r="45">
      <c r="A45" s="0" t="s">
        <v>170</v>
      </c>
      <c r="B45" s="0" t="s">
        <v>170</v>
      </c>
      <c r="C45" s="0" t="s">
        <v>194</v>
      </c>
      <c r="D45" s="0" t="s">
        <v>27</v>
      </c>
      <c r="E45" s="0" t="s">
        <v>105</v>
      </c>
      <c r="F45" s="0" t="s">
        <v>29</v>
      </c>
      <c r="G45" s="0" t="s">
        <v>187</v>
      </c>
      <c r="H45" s="0" t="s">
        <v>187</v>
      </c>
      <c r="I45" s="0" t="s">
        <v>195</v>
      </c>
      <c r="J45" s="0" t="s">
        <v>195</v>
      </c>
      <c r="K45" s="0" t="s">
        <v>148</v>
      </c>
      <c r="L45" s="0" t="s">
        <v>32</v>
      </c>
      <c r="M45" s="0" t="s">
        <v>61</v>
      </c>
      <c r="N45" s="0" t="s">
        <v>100</v>
      </c>
      <c r="O45" s="0" t="s">
        <v>35</v>
      </c>
      <c r="P45" s="0" t="s">
        <v>175</v>
      </c>
      <c r="Q45" s="0" t="s">
        <v>148</v>
      </c>
      <c r="R45" s="0" t="s">
        <v>194</v>
      </c>
      <c r="S45" s="0" t="s">
        <v>100</v>
      </c>
      <c r="T45" s="0">
        <f>HYPERLINK("https://ec-uat-storage.kldlms.com/ItemVariation/08DCC1DB-8EF2-49E2-8453-F1AD06881C6F/05040024-B7E3-4764-886D-ABC72CFD3A6E.jpeg","Variant Image")</f>
      </c>
      <c r="U45" s="0">
        <f>HYPERLINK("https://ec-qa-storage.kldlms.com/Item/08DCC1DB-8EF2-49E2-8453-F1AD06881C6F/D31569BD-1C8B-45D6-B739-C4604544E9C6.jpeg","Thumbnail Image")</f>
      </c>
      <c r="V45" s="0">
        <f>HYPERLINK("https://ec-qa-storage.kldlms.com/ItemGallery/08DCC1DB-8EF2-49E2-8453-F1AD06881C6F/0CC28AA1-0869-4F4D-8CCE-F3E97DB2A8FF.jpeg","Gallery Image ")</f>
      </c>
      <c r="W45" s="0" t="s">
        <v>22</v>
      </c>
    </row>
    <row r="46">
      <c r="A46" s="0" t="s">
        <v>170</v>
      </c>
      <c r="B46" s="0" t="s">
        <v>170</v>
      </c>
      <c r="C46" s="0" t="s">
        <v>196</v>
      </c>
      <c r="D46" s="0" t="s">
        <v>27</v>
      </c>
      <c r="E46" s="0" t="s">
        <v>105</v>
      </c>
      <c r="F46" s="0" t="s">
        <v>29</v>
      </c>
      <c r="G46" s="0" t="s">
        <v>197</v>
      </c>
      <c r="H46" s="0" t="s">
        <v>197</v>
      </c>
      <c r="I46" s="0" t="s">
        <v>198</v>
      </c>
      <c r="J46" s="0" t="s">
        <v>198</v>
      </c>
      <c r="K46" s="0" t="s">
        <v>148</v>
      </c>
      <c r="L46" s="0" t="s">
        <v>32</v>
      </c>
      <c r="M46" s="0" t="s">
        <v>61</v>
      </c>
      <c r="N46" s="0" t="s">
        <v>100</v>
      </c>
      <c r="O46" s="0" t="s">
        <v>110</v>
      </c>
      <c r="P46" s="0" t="s">
        <v>134</v>
      </c>
      <c r="Q46" s="0" t="s">
        <v>148</v>
      </c>
      <c r="R46" s="0" t="s">
        <v>196</v>
      </c>
      <c r="S46" s="0" t="s">
        <v>100</v>
      </c>
      <c r="T46" s="0">
        <f>HYPERLINK("https://ec-uat-storage.kldlms.com/ItemVariation/08DCC1E3-8D8C-4184-862D-A4F99E27E820/30170123-F4F1-4DDB-9BB4-B07274293115.jpeg","Variant Image")</f>
      </c>
      <c r="U46" s="0">
        <f>HYPERLINK("https://ec-qa-storage.kldlms.com/Item/08DCC1E3-8D8C-4184-862D-A4F99E27E820/340A19D7-27E2-48A6-BE60-5808F786D7A3.jpeg","Thumbnail Image")</f>
      </c>
      <c r="V46" s="0">
        <f>HYPERLINK("https://ec-qa-storage.kldlms.com/ItemGallery/08DCC1E3-8D8C-4184-862D-A4F99E27E820/9F4E1A5D-C9DC-456F-8341-A1B809327C0E.jpeg","Gallery Image ")</f>
      </c>
      <c r="W46" s="0" t="s">
        <v>22</v>
      </c>
    </row>
    <row r="47">
      <c r="A47" s="0" t="s">
        <v>170</v>
      </c>
      <c r="B47" s="0" t="s">
        <v>170</v>
      </c>
      <c r="C47" s="0" t="s">
        <v>199</v>
      </c>
      <c r="D47" s="0" t="s">
        <v>27</v>
      </c>
      <c r="E47" s="0" t="s">
        <v>105</v>
      </c>
      <c r="F47" s="0" t="s">
        <v>29</v>
      </c>
      <c r="G47" s="0" t="s">
        <v>182</v>
      </c>
      <c r="H47" s="0" t="s">
        <v>182</v>
      </c>
      <c r="I47" s="0" t="s">
        <v>200</v>
      </c>
      <c r="J47" s="0" t="s">
        <v>200</v>
      </c>
      <c r="K47" s="0" t="s">
        <v>201</v>
      </c>
      <c r="L47" s="0" t="s">
        <v>32</v>
      </c>
      <c r="M47" s="0" t="s">
        <v>61</v>
      </c>
      <c r="N47" s="0" t="s">
        <v>202</v>
      </c>
      <c r="O47" s="0" t="s">
        <v>110</v>
      </c>
      <c r="P47" s="0" t="s">
        <v>203</v>
      </c>
      <c r="Q47" s="0" t="s">
        <v>204</v>
      </c>
      <c r="R47" s="0" t="s">
        <v>191</v>
      </c>
      <c r="S47" s="0" t="s">
        <v>205</v>
      </c>
      <c r="T47" s="0">
        <f>HYPERLINK("https://storage.sslt.ae/ItemVariation/08DCC1E8-39B5-4C88-87CB-A1998AAF1D70/32BF550E-2745-4AD3-88E4-9DE86811F848.webp","Variant Image")</f>
      </c>
      <c r="U47" s="0">
        <f>HYPERLINK("https://ec-qa-storage.kldlms.com/Item/08DCC1E8-39B5-4C88-87CB-A1998AAF1D70/6B018B90-2953-4A85-A017-CE622D0484ED.jpeg","Thumbnail Image")</f>
      </c>
      <c r="V47" s="0">
        <f>HYPERLINK("https://ec-qa-storage.kldlms.com/ItemGallery/08DCC1E8-39B5-4C88-87CB-A1998AAF1D70/68B37E93-9D2A-496D-B5F3-B9E36E3A05BB.jpeg","Gallery Image ")</f>
      </c>
      <c r="W47" s="0" t="s">
        <v>22</v>
      </c>
      <c r="X47" s="0" t="s">
        <v>206</v>
      </c>
    </row>
    <row r="48">
      <c r="P48" s="0" t="s">
        <v>125</v>
      </c>
      <c r="Q48" s="0" t="s">
        <v>201</v>
      </c>
      <c r="R48" s="0" t="s">
        <v>199</v>
      </c>
      <c r="S48" s="0" t="s">
        <v>202</v>
      </c>
      <c r="T48" s="0">
        <f>HYPERLINK("https://storage.sslt.ae/ItemVariation/08DCC1E8-39B5-4C88-87CB-A1998AAF1D70/671D7DCA-C4FD-4FBC-8E78-5443CC4D14B7.webp","Variant Image")</f>
      </c>
      <c r="X48" s="0" t="s">
        <v>207</v>
      </c>
    </row>
    <row r="49">
      <c r="P49" s="0" t="s">
        <v>36</v>
      </c>
      <c r="Q49" s="0" t="s">
        <v>208</v>
      </c>
      <c r="R49" s="0" t="s">
        <v>181</v>
      </c>
      <c r="S49" s="0" t="s">
        <v>209</v>
      </c>
      <c r="T49" s="0">
        <f>HYPERLINK("https://storage.sslt.ae/ItemVariation/08DCC1E8-39B5-4C88-87CB-A1998AAF1D70/436368B3-A0A7-473B-A3CF-40F4B5690874.webp","Variant Image")</f>
      </c>
      <c r="X49" s="0" t="s">
        <v>210</v>
      </c>
    </row>
    <row r="50">
      <c r="A50" s="0" t="s">
        <v>170</v>
      </c>
      <c r="B50" s="0" t="s">
        <v>170</v>
      </c>
      <c r="C50" s="0" t="s">
        <v>211</v>
      </c>
      <c r="D50" s="0" t="s">
        <v>27</v>
      </c>
      <c r="E50" s="0" t="s">
        <v>105</v>
      </c>
      <c r="F50" s="0" t="s">
        <v>29</v>
      </c>
      <c r="G50" s="0" t="s">
        <v>187</v>
      </c>
      <c r="H50" s="0" t="s">
        <v>187</v>
      </c>
      <c r="I50" s="0" t="s">
        <v>212</v>
      </c>
      <c r="J50" s="0" t="s">
        <v>212</v>
      </c>
      <c r="K50" s="0" t="s">
        <v>151</v>
      </c>
      <c r="L50" s="0" t="s">
        <v>32</v>
      </c>
      <c r="M50" s="0" t="s">
        <v>61</v>
      </c>
      <c r="N50" s="0" t="s">
        <v>100</v>
      </c>
      <c r="O50" s="0" t="s">
        <v>110</v>
      </c>
      <c r="P50" s="0" t="s">
        <v>134</v>
      </c>
      <c r="Q50" s="0" t="s">
        <v>151</v>
      </c>
      <c r="R50" s="0" t="s">
        <v>211</v>
      </c>
      <c r="S50" s="0" t="s">
        <v>100</v>
      </c>
      <c r="T50" s="0">
        <f>HYPERLINK("https://ec-uat-storage.kldlms.com/ItemVariation/08DCC1EA-4406-4C0F-8088-90AFCF8CEE6A/0D477C47-6487-4C88-8EBF-052552A541BC.jpeg","Variant Image")</f>
      </c>
      <c r="U50" s="0">
        <f>HYPERLINK("https://ec-qa-storage.kldlms.com/Item/08DCC1EA-4406-4C0F-8088-90AFCF8CEE6A/CFE93970-4804-4571-90CD-7AC48B4E3F61.jpeg","Thumbnail Image")</f>
      </c>
      <c r="V50" s="0">
        <f>HYPERLINK("https://ec-qa-storage.kldlms.com/ItemGallery/08DCC1EA-4406-4C0F-8088-90AFCF8CEE6A/9C691539-1E17-4123-986A-A18DE63269CE.jpeg","Gallery Image ")</f>
      </c>
      <c r="W50" s="0" t="s">
        <v>22</v>
      </c>
    </row>
    <row r="51">
      <c r="A51" s="0" t="s">
        <v>170</v>
      </c>
      <c r="B51" s="0" t="s">
        <v>170</v>
      </c>
      <c r="C51" s="0" t="s">
        <v>213</v>
      </c>
      <c r="D51" s="0" t="s">
        <v>27</v>
      </c>
      <c r="E51" s="0" t="s">
        <v>105</v>
      </c>
      <c r="F51" s="0" t="s">
        <v>29</v>
      </c>
      <c r="G51" s="0" t="s">
        <v>197</v>
      </c>
      <c r="H51" s="0" t="s">
        <v>197</v>
      </c>
      <c r="I51" s="0" t="s">
        <v>214</v>
      </c>
      <c r="J51" s="0" t="s">
        <v>214</v>
      </c>
      <c r="K51" s="0" t="s">
        <v>148</v>
      </c>
      <c r="L51" s="0" t="s">
        <v>32</v>
      </c>
      <c r="M51" s="0" t="s">
        <v>61</v>
      </c>
      <c r="N51" s="0" t="s">
        <v>100</v>
      </c>
      <c r="O51" s="0" t="s">
        <v>110</v>
      </c>
      <c r="P51" s="0" t="s">
        <v>36</v>
      </c>
      <c r="Q51" s="0" t="s">
        <v>148</v>
      </c>
      <c r="R51" s="0" t="s">
        <v>213</v>
      </c>
      <c r="S51" s="0" t="s">
        <v>100</v>
      </c>
      <c r="T51" s="0">
        <f>HYPERLINK("https://ec-uat-storage.kldlms.com/ItemVariation/08DCC1EB-5B0A-4423-83EA-C4C482E2CD85/B1FE8897-8C6B-429F-AFDA-D7421CE316E1.jpeg","Variant Image")</f>
      </c>
      <c r="U51" s="0">
        <f>HYPERLINK("https://ec-qa-storage.kldlms.com/Item/08DCC1EB-5B0A-4423-83EA-C4C482E2CD85/AC126441-3DD6-4176-BA9B-3D5BE2EF06DD.jpeg","Thumbnail Image")</f>
      </c>
      <c r="V51" s="0">
        <f>HYPERLINK("https://ec-qa-storage.kldlms.com/ItemGallery/08DCC1EB-5B0A-4423-83EA-C4C482E2CD85/1F0299FC-4651-4E30-A56F-5A61A2656083.jpeg","Gallery Image ")</f>
      </c>
      <c r="W51" s="0" t="s">
        <v>22</v>
      </c>
    </row>
    <row r="52">
      <c r="A52" s="0" t="s">
        <v>170</v>
      </c>
      <c r="B52" s="0" t="s">
        <v>170</v>
      </c>
      <c r="C52" s="0" t="s">
        <v>215</v>
      </c>
      <c r="D52" s="0" t="s">
        <v>27</v>
      </c>
      <c r="E52" s="0" t="s">
        <v>105</v>
      </c>
      <c r="F52" s="0" t="s">
        <v>29</v>
      </c>
      <c r="G52" s="0" t="s">
        <v>172</v>
      </c>
      <c r="H52" s="0" t="s">
        <v>172</v>
      </c>
      <c r="I52" s="0" t="s">
        <v>216</v>
      </c>
      <c r="J52" s="0" t="s">
        <v>216</v>
      </c>
      <c r="K52" s="0" t="s">
        <v>217</v>
      </c>
      <c r="L52" s="0" t="s">
        <v>32</v>
      </c>
      <c r="M52" s="0" t="s">
        <v>61</v>
      </c>
      <c r="N52" s="0" t="s">
        <v>218</v>
      </c>
      <c r="O52" s="0" t="s">
        <v>110</v>
      </c>
      <c r="P52" s="0" t="s">
        <v>203</v>
      </c>
      <c r="Q52" s="0" t="s">
        <v>154</v>
      </c>
      <c r="R52" s="0" t="s">
        <v>171</v>
      </c>
      <c r="S52" s="0" t="s">
        <v>219</v>
      </c>
      <c r="T52" s="0">
        <f>HYPERLINK("https://storage.sslt.ae/ItemVariation/08DCC1ED-8945-4325-8EC3-4C835726E69D/4FA76398-B852-4E14-9045-3F382B8E9FDF.webp","Variant Image")</f>
      </c>
      <c r="U52" s="0">
        <f>HYPERLINK("https://ec-qa-storage.kldlms.com/Item/08DCC1ED-8945-4325-8EC3-4C835726E69D/A0F255D3-E28D-4F0E-AB9A-E2A3406AC443.jpeg","Thumbnail Image")</f>
      </c>
      <c r="V52" s="0">
        <f>HYPERLINK("https://ec-qa-storage.kldlms.com/ItemGallery/08DCC1ED-8945-4325-8EC3-4C835726E69D/F4A6587D-F7C0-4C49-AB8C-22BD7E2E5127.jpeg","Gallery Image ")</f>
      </c>
      <c r="W52" s="0" t="s">
        <v>22</v>
      </c>
      <c r="X52" s="0" t="s">
        <v>220</v>
      </c>
    </row>
    <row r="53">
      <c r="P53" s="0" t="s">
        <v>134</v>
      </c>
      <c r="Q53" s="0" t="s">
        <v>217</v>
      </c>
      <c r="R53" s="0" t="s">
        <v>215</v>
      </c>
      <c r="S53" s="0" t="s">
        <v>218</v>
      </c>
      <c r="T53" s="0">
        <f>HYPERLINK("https://storage.sslt.ae/ItemVariation/08DCC1ED-8945-4325-8EC3-4C835726E69D/8F998873-DB2F-4296-94C1-2C6C2D4701BE.webp","Variant Image")</f>
      </c>
      <c r="X53" s="0" t="s">
        <v>221</v>
      </c>
    </row>
    <row r="54">
      <c r="P54" s="0" t="s">
        <v>125</v>
      </c>
      <c r="Q54" s="0" t="s">
        <v>222</v>
      </c>
      <c r="R54" s="0" t="s">
        <v>176</v>
      </c>
      <c r="S54" s="0" t="s">
        <v>223</v>
      </c>
      <c r="T54" s="0">
        <f>HYPERLINK("https://storage.sslt.ae/ItemVariation/08DCC1ED-8945-4325-8EC3-4C835726E69D/90A075BA-5B1A-4C65-8BB4-70445494CC5E.webp","Variant Image")</f>
      </c>
      <c r="X54" s="0" t="s">
        <v>224</v>
      </c>
    </row>
    <row r="55">
      <c r="A55" s="0" t="s">
        <v>170</v>
      </c>
      <c r="B55" s="0" t="s">
        <v>170</v>
      </c>
      <c r="C55" s="0" t="s">
        <v>225</v>
      </c>
      <c r="D55" s="0" t="s">
        <v>27</v>
      </c>
      <c r="E55" s="0" t="s">
        <v>105</v>
      </c>
      <c r="F55" s="0" t="s">
        <v>29</v>
      </c>
      <c r="G55" s="0" t="s">
        <v>197</v>
      </c>
      <c r="H55" s="0" t="s">
        <v>197</v>
      </c>
      <c r="I55" s="0" t="s">
        <v>226</v>
      </c>
      <c r="J55" s="0" t="s">
        <v>226</v>
      </c>
      <c r="K55" s="0" t="s">
        <v>174</v>
      </c>
      <c r="L55" s="0" t="s">
        <v>32</v>
      </c>
      <c r="M55" s="0" t="s">
        <v>61</v>
      </c>
      <c r="N55" s="0" t="s">
        <v>100</v>
      </c>
      <c r="O55" s="0" t="s">
        <v>110</v>
      </c>
      <c r="P55" s="0" t="s">
        <v>125</v>
      </c>
      <c r="Q55" s="0" t="s">
        <v>174</v>
      </c>
      <c r="R55" s="0" t="s">
        <v>225</v>
      </c>
      <c r="S55" s="0" t="s">
        <v>100</v>
      </c>
      <c r="T55" s="0">
        <f>HYPERLINK("https://ec-uat-storage.kldlms.com/ItemVariation/08DCC26F-418E-4596-8BB5-0E0F7557B82F/048D983B-9DAC-48CF-AF85-165C62B711DC.jpeg","Variant Image")</f>
      </c>
      <c r="U55" s="0">
        <f>HYPERLINK("https://ec-qa-storage.kldlms.com/Item/08DCC26F-418E-4596-8BB5-0E0F7557B82F/002698AF-C737-4843-89FA-3EBE8C9970B3.jpeg","Thumbnail Image")</f>
      </c>
      <c r="V55" s="0">
        <f>HYPERLINK("https://ec-qa-storage.kldlms.com/ItemGallery/08DCC26F-418E-4596-8BB5-0E0F7557B82F/411A1C79-9E5F-4A2D-8C58-E0CB62DDF2B3.jpeg","Gallery Image ")</f>
      </c>
      <c r="W55" s="0" t="s">
        <v>22</v>
      </c>
    </row>
    <row r="56">
      <c r="A56" s="0" t="s">
        <v>170</v>
      </c>
      <c r="B56" s="0" t="s">
        <v>170</v>
      </c>
      <c r="C56" s="0" t="s">
        <v>227</v>
      </c>
      <c r="D56" s="0" t="s">
        <v>27</v>
      </c>
      <c r="E56" s="0" t="s">
        <v>105</v>
      </c>
      <c r="F56" s="0" t="s">
        <v>29</v>
      </c>
      <c r="G56" s="0" t="s">
        <v>187</v>
      </c>
      <c r="H56" s="0" t="s">
        <v>187</v>
      </c>
      <c r="I56" s="0" t="s">
        <v>228</v>
      </c>
      <c r="J56" s="0" t="s">
        <v>228</v>
      </c>
      <c r="K56" s="0" t="s">
        <v>108</v>
      </c>
      <c r="L56" s="0" t="s">
        <v>32</v>
      </c>
      <c r="M56" s="0" t="s">
        <v>61</v>
      </c>
      <c r="N56" s="0" t="s">
        <v>140</v>
      </c>
      <c r="O56" s="0" t="s">
        <v>110</v>
      </c>
      <c r="P56" s="0" t="s">
        <v>203</v>
      </c>
      <c r="Q56" s="0" t="s">
        <v>229</v>
      </c>
      <c r="R56" s="0" t="s">
        <v>194</v>
      </c>
      <c r="S56" s="0" t="s">
        <v>140</v>
      </c>
      <c r="T56" s="0">
        <f>HYPERLINK("https://storage.sslt.ae/ItemVariation/08DCC270-190A-434E-8DDB-742AE61CE8D7/897BBAE7-D7C2-49EB-9EB0-558C3210F352.webp","Variant Image")</f>
      </c>
      <c r="U56" s="0">
        <f>HYPERLINK("https://ec-qa-storage.kldlms.com/Item/08DCC270-190A-434E-8DDB-742AE61CE8D7/1D6B4417-D7F2-4438-B84E-EED4853D562A.jpeg","Thumbnail Image")</f>
      </c>
      <c r="V56" s="0">
        <f>HYPERLINK("https://ec-qa-storage.kldlms.com/ItemGallery/08DCC270-190A-434E-8DDB-742AE61CE8D7/02743AA8-139D-4C93-89A0-E4CA171012CB.jpeg","Gallery Image ")</f>
      </c>
      <c r="W56" s="0" t="s">
        <v>22</v>
      </c>
      <c r="X56" s="0" t="s">
        <v>230</v>
      </c>
    </row>
    <row r="57">
      <c r="P57" s="0" t="s">
        <v>125</v>
      </c>
      <c r="Q57" s="0" t="s">
        <v>108</v>
      </c>
      <c r="R57" s="0" t="s">
        <v>227</v>
      </c>
      <c r="S57" s="0" t="s">
        <v>140</v>
      </c>
      <c r="T57" s="0">
        <f>HYPERLINK("https://storage.sslt.ae/ItemVariation/08DCC270-190A-434E-8DDB-742AE61CE8D7/AC284139-A67F-48AA-AA43-A1046021BE6F.webp","Variant Image")</f>
      </c>
      <c r="X57" s="0" t="s">
        <v>231</v>
      </c>
    </row>
    <row r="58">
      <c r="P58" s="0" t="s">
        <v>134</v>
      </c>
      <c r="Q58" s="0" t="s">
        <v>222</v>
      </c>
      <c r="R58" s="0" t="s">
        <v>211</v>
      </c>
      <c r="S58" s="0" t="s">
        <v>232</v>
      </c>
      <c r="T58" s="0">
        <f>HYPERLINK("https://storage.sslt.ae/ItemVariation/08DCC270-190A-434E-8DDB-742AE61CE8D7/F1E7B737-FE3F-4C82-9619-9130D41C81C0.webp","Variant Image")</f>
      </c>
      <c r="X58" s="0" t="s">
        <v>233</v>
      </c>
    </row>
    <row r="59">
      <c r="P59" s="0" t="s">
        <v>36</v>
      </c>
      <c r="Q59" s="0" t="s">
        <v>234</v>
      </c>
      <c r="R59" s="0" t="s">
        <v>186</v>
      </c>
      <c r="S59" s="0" t="s">
        <v>209</v>
      </c>
      <c r="T59" s="0">
        <f>HYPERLINK("https://storage.sslt.ae/ItemVariation/08DCC270-190A-434E-8DDB-742AE61CE8D7/BD3E129A-0121-451C-9294-D4B9442EB434.webp","Variant Image")</f>
      </c>
      <c r="X59" s="0" t="s">
        <v>235</v>
      </c>
    </row>
    <row r="60">
      <c r="A60" s="0" t="s">
        <v>170</v>
      </c>
      <c r="B60" s="0" t="s">
        <v>170</v>
      </c>
      <c r="C60" s="0" t="s">
        <v>236</v>
      </c>
      <c r="D60" s="0" t="s">
        <v>27</v>
      </c>
      <c r="E60" s="0" t="s">
        <v>105</v>
      </c>
      <c r="F60" s="0" t="s">
        <v>29</v>
      </c>
      <c r="G60" s="0" t="s">
        <v>197</v>
      </c>
      <c r="H60" s="0" t="s">
        <v>197</v>
      </c>
      <c r="I60" s="0" t="s">
        <v>237</v>
      </c>
      <c r="J60" s="0" t="s">
        <v>237</v>
      </c>
      <c r="K60" s="0" t="s">
        <v>151</v>
      </c>
      <c r="L60" s="0" t="s">
        <v>32</v>
      </c>
      <c r="M60" s="0" t="s">
        <v>61</v>
      </c>
      <c r="N60" s="0" t="s">
        <v>100</v>
      </c>
      <c r="O60" s="0" t="s">
        <v>110</v>
      </c>
      <c r="P60" s="0" t="s">
        <v>193</v>
      </c>
      <c r="Q60" s="0" t="s">
        <v>151</v>
      </c>
      <c r="R60" s="0" t="s">
        <v>236</v>
      </c>
      <c r="S60" s="0" t="s">
        <v>100</v>
      </c>
      <c r="T60" s="0">
        <f>HYPERLINK("https://ec-uat-storage.kldlms.com/ItemVariation/08DCC271-B062-43E0-8C9C-5D2DBF0CC015/2216313D-EBF2-497D-8EB4-AB3513D39094.jpeg","Variant Image")</f>
      </c>
      <c r="U60" s="0">
        <f>HYPERLINK("https://ec-qa-storage.kldlms.com/Item/08DCC271-B062-43E0-8C9C-5D2DBF0CC015/A91F72B9-FFD5-48C2-AF8F-697CD9410F7C.jpeg","Thumbnail Image")</f>
      </c>
      <c r="V60" s="0">
        <f>HYPERLINK("https://ec-qa-storage.kldlms.com/ItemGallery/08DCC271-B062-43E0-8C9C-5D2DBF0CC015/041A1799-F2EE-4B08-A430-D52ACD3BB22B.jpeg","Gallery Image ")</f>
      </c>
      <c r="W60" s="0" t="s">
        <v>22</v>
      </c>
    </row>
    <row r="61">
      <c r="A61" s="0" t="s">
        <v>170</v>
      </c>
      <c r="B61" s="0" t="s">
        <v>170</v>
      </c>
      <c r="C61" s="0" t="s">
        <v>238</v>
      </c>
      <c r="D61" s="0" t="s">
        <v>27</v>
      </c>
      <c r="E61" s="0" t="s">
        <v>105</v>
      </c>
      <c r="F61" s="0" t="s">
        <v>29</v>
      </c>
      <c r="G61" s="0" t="s">
        <v>179</v>
      </c>
      <c r="H61" s="0" t="s">
        <v>179</v>
      </c>
      <c r="I61" s="0" t="s">
        <v>239</v>
      </c>
      <c r="J61" s="0" t="s">
        <v>239</v>
      </c>
      <c r="K61" s="0" t="s">
        <v>151</v>
      </c>
      <c r="L61" s="0" t="s">
        <v>32</v>
      </c>
      <c r="M61" s="0" t="s">
        <v>61</v>
      </c>
      <c r="N61" s="0" t="s">
        <v>100</v>
      </c>
      <c r="O61" s="0" t="s">
        <v>110</v>
      </c>
      <c r="P61" s="0" t="s">
        <v>134</v>
      </c>
      <c r="Q61" s="0" t="s">
        <v>32</v>
      </c>
      <c r="R61" s="0" t="s">
        <v>238</v>
      </c>
      <c r="S61" s="0" t="s">
        <v>32</v>
      </c>
      <c r="T61" s="0">
        <f>HYPERLINK("https://ec-uat-storage.kldlms.com/ItemVariation/08DCC273-C9B0-4BB4-836A-D63B1BA543BE/320C9ECE-6597-4B68-B423-C01E3E937734.jpeg","Variant Image")</f>
      </c>
      <c r="U61" s="0">
        <f>HYPERLINK("https://ec-qa-storage.kldlms.com/Item/08DCC273-C9B0-4BB4-836A-D63B1BA543BE/8F93884A-0016-4A8B-BCFD-1426A1B89DF0.jpeg","Thumbnail Image")</f>
      </c>
      <c r="V61" s="0">
        <f>HYPERLINK("https://ec-qa-storage.kldlms.com/ItemGallery/08DCC273-C9B0-4BB4-836A-D63B1BA543BE/0C7A5C00-FD99-4D74-A7E4-424532169A93.jpeg","Gallery Image ")</f>
      </c>
      <c r="W61" s="0" t="s">
        <v>22</v>
      </c>
    </row>
    <row r="62">
      <c r="A62" s="0" t="s">
        <v>170</v>
      </c>
      <c r="B62" s="0" t="s">
        <v>170</v>
      </c>
      <c r="C62" s="0" t="s">
        <v>240</v>
      </c>
      <c r="D62" s="0" t="s">
        <v>27</v>
      </c>
      <c r="E62" s="0" t="s">
        <v>105</v>
      </c>
      <c r="F62" s="0" t="s">
        <v>29</v>
      </c>
      <c r="G62" s="0" t="s">
        <v>179</v>
      </c>
      <c r="H62" s="0" t="s">
        <v>179</v>
      </c>
      <c r="I62" s="0" t="s">
        <v>241</v>
      </c>
      <c r="J62" s="0" t="s">
        <v>241</v>
      </c>
      <c r="K62" s="0" t="s">
        <v>242</v>
      </c>
      <c r="L62" s="0" t="s">
        <v>32</v>
      </c>
      <c r="M62" s="0" t="s">
        <v>61</v>
      </c>
      <c r="N62" s="0" t="s">
        <v>243</v>
      </c>
      <c r="O62" s="0" t="s">
        <v>110</v>
      </c>
      <c r="P62" s="0" t="s">
        <v>203</v>
      </c>
      <c r="Q62" s="0" t="s">
        <v>244</v>
      </c>
      <c r="R62" s="0" t="s">
        <v>184</v>
      </c>
      <c r="S62" s="0" t="s">
        <v>245</v>
      </c>
      <c r="T62" s="0">
        <f>HYPERLINK("https://storage.sslt.ae/ItemVariation/08DCC278-021F-4860-8915-432EE1D8954D/8E17F7FD-DCDF-4D6E-9B93-FE7B39C127AC.jpeg","Variant Image")</f>
      </c>
      <c r="U62" s="0">
        <f>HYPERLINK("https://ec-qa-storage.kldlms.com/Item/08DCC278-021F-4860-8915-432EE1D8954D/FAF3B12F-0A47-4DCF-BAD5-B35B027EC24E.jpeg","Thumbnail Image")</f>
      </c>
      <c r="V62" s="0">
        <f>HYPERLINK("https://ec-qa-storage.kldlms.com/ItemGallery/08DCC278-021F-4860-8915-432EE1D8954D/691477B6-6E7B-40DE-A001-3A1419B45EEC.jpeg","Gallery Image ")</f>
      </c>
      <c r="W62" s="0" t="s">
        <v>22</v>
      </c>
      <c r="X62" s="0" t="s">
        <v>246</v>
      </c>
    </row>
    <row r="63">
      <c r="P63" s="0" t="s">
        <v>247</v>
      </c>
      <c r="Q63" s="0" t="s">
        <v>242</v>
      </c>
      <c r="R63" s="0" t="s">
        <v>240</v>
      </c>
      <c r="S63" s="0" t="s">
        <v>243</v>
      </c>
      <c r="T63" s="0">
        <f>HYPERLINK("https://storage.sslt.ae/ItemVariation/08DCC278-021F-4860-8915-432EE1D8954D/022A2D17-9037-4E57-B2B8-AC3099CC8F3A.webp","Variant Image")</f>
      </c>
      <c r="X63" s="0" t="s">
        <v>248</v>
      </c>
    </row>
    <row r="64">
      <c r="P64" s="0" t="s">
        <v>125</v>
      </c>
      <c r="Q64" s="0" t="s">
        <v>249</v>
      </c>
      <c r="R64" s="0" t="s">
        <v>189</v>
      </c>
      <c r="S64" s="0" t="s">
        <v>209</v>
      </c>
      <c r="T64" s="0">
        <f>HYPERLINK("https://storage.sslt.ae/ItemVariation/08DCC278-021F-4860-8915-432EE1D8954D/71E9DE9C-5802-4F31-B9FC-E40DD73A1A6C.webp","Variant Image")</f>
      </c>
      <c r="X64" s="0" t="s">
        <v>250</v>
      </c>
    </row>
    <row r="65">
      <c r="P65" s="0" t="s">
        <v>134</v>
      </c>
      <c r="Q65" s="0" t="s">
        <v>251</v>
      </c>
      <c r="R65" s="0" t="s">
        <v>238</v>
      </c>
      <c r="S65" s="0" t="s">
        <v>140</v>
      </c>
      <c r="T65" s="0">
        <f>HYPERLINK("https://storage.sslt.ae/ItemVariation/08DCC278-021F-4860-8915-432EE1D8954D/E3EAA824-095F-4D9D-BF1B-1DF76D521C6B.webp","Variant Image")</f>
      </c>
      <c r="X65" s="0" t="s">
        <v>252</v>
      </c>
    </row>
    <row r="66">
      <c r="P66" s="0" t="s">
        <v>36</v>
      </c>
      <c r="Q66" s="0" t="s">
        <v>253</v>
      </c>
      <c r="R66" s="0" t="s">
        <v>178</v>
      </c>
      <c r="S66" s="0" t="s">
        <v>254</v>
      </c>
      <c r="T66" s="0">
        <f>HYPERLINK("https://storage.sslt.ae/ItemVariation/08DCC278-021F-4860-8915-432EE1D8954D/743C02CB-668F-4F28-B0FA-C86C93369E9D.webp","Variant Image")</f>
      </c>
      <c r="X66" s="0" t="s">
        <v>255</v>
      </c>
    </row>
    <row r="67">
      <c r="A67" s="0" t="s">
        <v>170</v>
      </c>
      <c r="B67" s="0" t="s">
        <v>170</v>
      </c>
      <c r="C67" s="0" t="s">
        <v>256</v>
      </c>
      <c r="D67" s="0" t="s">
        <v>27</v>
      </c>
      <c r="E67" s="0" t="s">
        <v>105</v>
      </c>
      <c r="F67" s="0" t="s">
        <v>29</v>
      </c>
      <c r="G67" s="0" t="s">
        <v>187</v>
      </c>
      <c r="H67" s="0" t="s">
        <v>187</v>
      </c>
      <c r="I67" s="0" t="s">
        <v>257</v>
      </c>
      <c r="J67" s="0" t="s">
        <v>257</v>
      </c>
      <c r="K67" s="0" t="s">
        <v>128</v>
      </c>
      <c r="L67" s="0" t="s">
        <v>32</v>
      </c>
      <c r="M67" s="0" t="s">
        <v>61</v>
      </c>
      <c r="N67" s="0" t="s">
        <v>100</v>
      </c>
      <c r="O67" s="0" t="s">
        <v>110</v>
      </c>
      <c r="P67" s="0" t="s">
        <v>247</v>
      </c>
      <c r="Q67" s="0" t="s">
        <v>128</v>
      </c>
      <c r="R67" s="0" t="s">
        <v>256</v>
      </c>
      <c r="S67" s="0" t="s">
        <v>100</v>
      </c>
      <c r="T67" s="0">
        <f>HYPERLINK("https://ec-uat-storage.kldlms.com/ItemVariation/08DCC279-7C22-43BF-8D26-C641FD559872/72289AD5-D5BC-4176-8415-1466FAF34E5F.jpeg","Variant Image")</f>
      </c>
      <c r="U67" s="0">
        <f>HYPERLINK("https://ec-qa-storage.kldlms.com/Item/08DCC279-7C22-43BF-8D26-C641FD559872/C2636156-B571-4D09-B7C2-EC79552E3B72.jpeg","Thumbnail Image")</f>
      </c>
      <c r="V67" s="0">
        <f>HYPERLINK("https://ec-qa-storage.kldlms.com/ItemGallery/08DCC279-7C22-43BF-8D26-C641FD559872/87837F21-255A-4D29-85E1-D2C60B06B3BC.jpeg","Gallery Image ")</f>
      </c>
      <c r="W67" s="0" t="s">
        <v>22</v>
      </c>
    </row>
    <row r="68">
      <c r="A68" s="0" t="s">
        <v>170</v>
      </c>
      <c r="B68" s="0" t="s">
        <v>170</v>
      </c>
      <c r="C68" s="0" t="s">
        <v>258</v>
      </c>
      <c r="D68" s="0" t="s">
        <v>27</v>
      </c>
      <c r="E68" s="0" t="s">
        <v>105</v>
      </c>
      <c r="F68" s="0" t="s">
        <v>29</v>
      </c>
      <c r="G68" s="0" t="s">
        <v>197</v>
      </c>
      <c r="H68" s="0" t="s">
        <v>197</v>
      </c>
      <c r="I68" s="0" t="s">
        <v>259</v>
      </c>
      <c r="J68" s="0" t="s">
        <v>259</v>
      </c>
      <c r="K68" s="0" t="s">
        <v>260</v>
      </c>
      <c r="L68" s="0" t="s">
        <v>32</v>
      </c>
      <c r="M68" s="0" t="s">
        <v>61</v>
      </c>
      <c r="N68" s="0" t="s">
        <v>243</v>
      </c>
      <c r="O68" s="0" t="s">
        <v>35</v>
      </c>
      <c r="P68" s="0" t="s">
        <v>247</v>
      </c>
      <c r="Q68" s="0" t="s">
        <v>260</v>
      </c>
      <c r="R68" s="0" t="s">
        <v>258</v>
      </c>
      <c r="S68" s="0" t="s">
        <v>243</v>
      </c>
      <c r="T68" s="0">
        <f>HYPERLINK("https://storage.sslt.ae/ItemVariation/08DCC27A-76D0-470D-841C-FE3073C18E82/AB818533-6608-4C50-A255-CE6F79907DC1.webp","Variant Image")</f>
      </c>
      <c r="U68" s="0">
        <f>HYPERLINK("https://ec-qa-storage.kldlms.com/Item/08DCC27A-76D0-470D-841C-FE3073C18E82/D58475A9-0D4D-4788-A25C-8F39C3AF89CF.jpeg","Thumbnail Image")</f>
      </c>
      <c r="V68" s="0">
        <f>HYPERLINK("https://ec-qa-storage.kldlms.com/ItemGallery/08DCC27A-76D0-470D-841C-FE3073C18E82/270E12B4-31B7-4C04-A691-7B245A57C427.jpeg","Gallery Image ")</f>
      </c>
      <c r="W68" s="0" t="s">
        <v>22</v>
      </c>
      <c r="X68" s="0" t="s">
        <v>261</v>
      </c>
    </row>
    <row r="69">
      <c r="P69" s="0" t="s">
        <v>193</v>
      </c>
      <c r="Q69" s="0" t="s">
        <v>260</v>
      </c>
      <c r="R69" s="0" t="s">
        <v>236</v>
      </c>
      <c r="S69" s="0" t="s">
        <v>109</v>
      </c>
      <c r="T69" s="0">
        <f>HYPERLINK("https://storage.sslt.ae/ItemVariation/08DCC27A-76D0-470D-841C-FE3073C18E82/F2CEAF84-2EFF-4CB1-81CB-7AADBFDA0ECE.jpeg","Variant Image")</f>
      </c>
      <c r="X69" s="0" t="s">
        <v>262</v>
      </c>
    </row>
    <row r="70">
      <c r="P70" s="0" t="s">
        <v>125</v>
      </c>
      <c r="Q70" s="0" t="s">
        <v>263</v>
      </c>
      <c r="R70" s="0" t="s">
        <v>225</v>
      </c>
      <c r="S70" s="0" t="s">
        <v>109</v>
      </c>
      <c r="T70" s="0">
        <f>HYPERLINK("https://storage.sslt.ae/ItemVariation/08DCC27A-76D0-470D-841C-FE3073C18E82/42DA4D10-3D96-416A-946E-B2B35231EC26.webp","Variant Image")</f>
      </c>
      <c r="X70" s="0" t="s">
        <v>264</v>
      </c>
    </row>
    <row r="71">
      <c r="P71" s="0" t="s">
        <v>134</v>
      </c>
      <c r="Q71" s="0" t="s">
        <v>265</v>
      </c>
      <c r="R71" s="0" t="s">
        <v>196</v>
      </c>
      <c r="S71" s="0" t="s">
        <v>266</v>
      </c>
      <c r="T71" s="0">
        <f>HYPERLINK("https://storage.sslt.ae/ItemVariation/08DCC27A-76D0-470D-841C-FE3073C18E82/15FDFB3C-414F-462B-8D2B-CFD2589EBF4D.webp","Variant Image")</f>
      </c>
      <c r="X71" s="0" t="s">
        <v>267</v>
      </c>
    </row>
    <row r="72">
      <c r="P72" s="0" t="s">
        <v>36</v>
      </c>
      <c r="Q72" s="0" t="s">
        <v>268</v>
      </c>
      <c r="R72" s="0" t="s">
        <v>213</v>
      </c>
      <c r="S72" s="0" t="s">
        <v>269</v>
      </c>
      <c r="T72" s="0">
        <f>HYPERLINK("https://storage.sslt.ae/ItemVariation/08DCC27A-76D0-470D-841C-FE3073C18E82/13B94E6C-336D-47D8-8476-771A801324DB.webp","Variant Image")</f>
      </c>
      <c r="X72" s="0" t="s">
        <v>270</v>
      </c>
    </row>
    <row r="73">
      <c r="A73" s="0" t="s">
        <v>170</v>
      </c>
      <c r="B73" s="0" t="s">
        <v>170</v>
      </c>
      <c r="C73" s="0" t="s">
        <v>271</v>
      </c>
      <c r="D73" s="0" t="s">
        <v>27</v>
      </c>
      <c r="E73" s="0" t="s">
        <v>105</v>
      </c>
      <c r="F73" s="0" t="s">
        <v>29</v>
      </c>
      <c r="G73" s="0" t="s">
        <v>172</v>
      </c>
      <c r="H73" s="0" t="s">
        <v>172</v>
      </c>
      <c r="I73" s="0" t="s">
        <v>272</v>
      </c>
      <c r="J73" s="0" t="s">
        <v>272</v>
      </c>
      <c r="K73" s="0" t="s">
        <v>128</v>
      </c>
      <c r="L73" s="0" t="s">
        <v>32</v>
      </c>
      <c r="M73" s="0" t="s">
        <v>61</v>
      </c>
      <c r="N73" s="0" t="s">
        <v>100</v>
      </c>
      <c r="O73" s="0" t="s">
        <v>110</v>
      </c>
      <c r="P73" s="0" t="s">
        <v>247</v>
      </c>
      <c r="Q73" s="0" t="s">
        <v>128</v>
      </c>
      <c r="R73" s="0" t="s">
        <v>271</v>
      </c>
      <c r="S73" s="0" t="s">
        <v>100</v>
      </c>
      <c r="T73" s="0">
        <f>HYPERLINK("https://ec-uat-storage.kldlms.com/ItemVariation/08DCC27B-F4B3-4E32-802D-51A7AC012E41/E56F4ABE-97E9-4E19-A6C2-AEA91418F303.jpeg","Variant Image")</f>
      </c>
      <c r="U73" s="0">
        <f>HYPERLINK("https://ec-qa-storage.kldlms.com/Item/08DCC27B-F4B3-4E32-802D-51A7AC012E41/6D1F831F-65FA-4B67-B94E-3D3A8813914F.jpeg","Thumbnail Image")</f>
      </c>
      <c r="V73" s="0">
        <f>HYPERLINK("https://ec-qa-storage.kldlms.com/ItemGallery/08DCC27B-F4B3-4E32-802D-51A7AC012E41/BCB75790-7E76-49F1-A05E-E32FD2F214B1.jpeg","Gallery Image ")</f>
      </c>
      <c r="W73" s="0" t="s">
        <v>22</v>
      </c>
      <c r="X73" s="0" t="s">
        <v>273</v>
      </c>
    </row>
    <row r="74">
      <c r="A74" s="0" t="s">
        <v>170</v>
      </c>
      <c r="B74" s="0" t="s">
        <v>170</v>
      </c>
      <c r="C74" s="0" t="s">
        <v>274</v>
      </c>
      <c r="D74" s="0" t="s">
        <v>27</v>
      </c>
      <c r="E74" s="0" t="s">
        <v>105</v>
      </c>
      <c r="F74" s="0" t="s">
        <v>29</v>
      </c>
      <c r="G74" s="0" t="s">
        <v>187</v>
      </c>
      <c r="H74" s="0" t="s">
        <v>187</v>
      </c>
      <c r="I74" s="0" t="s">
        <v>275</v>
      </c>
      <c r="J74" s="0" t="s">
        <v>275</v>
      </c>
      <c r="K74" s="0" t="s">
        <v>204</v>
      </c>
      <c r="L74" s="0" t="s">
        <v>32</v>
      </c>
      <c r="M74" s="0" t="s">
        <v>61</v>
      </c>
      <c r="N74" s="0" t="s">
        <v>276</v>
      </c>
      <c r="O74" s="0" t="s">
        <v>35</v>
      </c>
      <c r="P74" s="0" t="s">
        <v>277</v>
      </c>
      <c r="Q74" s="0" t="s">
        <v>204</v>
      </c>
      <c r="R74" s="0" t="s">
        <v>274</v>
      </c>
      <c r="S74" s="0" t="s">
        <v>276</v>
      </c>
      <c r="T74" s="0">
        <f>HYPERLINK("https://ec-uat-storage.kldlms.com/ItemVariation/08DCC27F-8688-43C2-8C3A-C6F5986AAE14/44F9338F-754B-4319-8F63-97F0697046E5.jpeg","Variant Image")</f>
      </c>
      <c r="U74" s="0">
        <f>HYPERLINK("https://ec-qa-storage.kldlms.com/Item/08DCC27F-8688-43C2-8C3A-C6F5986AAE14/30E062B1-F7FE-4E86-865F-777891C727E5.jpeg","Thumbnail Image")</f>
      </c>
      <c r="V74" s="0">
        <f>HYPERLINK("https://ec-qa-storage.kldlms.com/ItemGallery/08DCC27F-8688-43C2-8C3A-C6F5986AAE14/87ADF966-11C2-4624-A4D9-19F8931BA48E.jpeg","Gallery Image ")</f>
      </c>
      <c r="W74" s="0" t="s">
        <v>22</v>
      </c>
      <c r="X74" s="0" t="s">
        <v>278</v>
      </c>
    </row>
    <row r="75">
      <c r="P75" s="0" t="s">
        <v>247</v>
      </c>
      <c r="Q75" s="0" t="s">
        <v>279</v>
      </c>
      <c r="R75" s="0" t="s">
        <v>256</v>
      </c>
      <c r="S75" s="0" t="s">
        <v>280</v>
      </c>
      <c r="T75" s="0">
        <f>HYPERLINK("https://storage.sslt.ae/ItemVariation/08DCC27F-8688-43C2-8C3A-C6F5986AAE14/F9415290-6846-417F-BAD1-7F293F7971C4.webp","Variant Image")</f>
      </c>
      <c r="X75" s="0" t="s">
        <v>281</v>
      </c>
    </row>
    <row r="76">
      <c r="A76" s="0" t="s">
        <v>282</v>
      </c>
      <c r="B76" s="0" t="s">
        <v>282</v>
      </c>
      <c r="C76" s="0" t="s">
        <v>283</v>
      </c>
      <c r="D76" s="0" t="s">
        <v>27</v>
      </c>
      <c r="E76" s="0" t="s">
        <v>105</v>
      </c>
      <c r="F76" s="0" t="s">
        <v>29</v>
      </c>
      <c r="G76" s="0" t="s">
        <v>284</v>
      </c>
      <c r="H76" s="0" t="s">
        <v>284</v>
      </c>
      <c r="I76" s="0" t="s">
        <v>285</v>
      </c>
      <c r="J76" s="0" t="s">
        <v>285</v>
      </c>
      <c r="K76" s="0" t="s">
        <v>286</v>
      </c>
      <c r="L76" s="0" t="s">
        <v>32</v>
      </c>
      <c r="M76" s="0" t="s">
        <v>61</v>
      </c>
      <c r="N76" s="0" t="s">
        <v>287</v>
      </c>
      <c r="O76" s="0" t="s">
        <v>110</v>
      </c>
      <c r="P76" s="0" t="s">
        <v>36</v>
      </c>
      <c r="Q76" s="0" t="s">
        <v>286</v>
      </c>
      <c r="R76" s="0" t="s">
        <v>283</v>
      </c>
      <c r="S76" s="0" t="s">
        <v>287</v>
      </c>
      <c r="T76" s="0">
        <f>HYPERLINK("https://ec-uat-storage.kldlms.com/ItemVariation/08DCC281-C911-469C-8B85-FA23D0546687/469001DF-ACEB-47C0-A48A-1509522AE6EB.jpeg","Variant Image")</f>
      </c>
      <c r="U76" s="0">
        <f>HYPERLINK("https://ec-qa-storage.kldlms.com/Item/08DCC281-C911-469C-8B85-FA23D0546687/5056DD10-1B3D-473A-A3DD-80326EA0605C.jpeg","Thumbnail Image")</f>
      </c>
      <c r="V76" s="0">
        <f>HYPERLINK("https://ec-qa-storage.kldlms.com/ItemGallery/08DCC281-C911-469C-8B85-FA23D0546687/227AEB7C-A7CB-411F-9C18-2334D686F170.jpeg","Gallery Image ")</f>
      </c>
      <c r="W76" s="0" t="s">
        <v>22</v>
      </c>
      <c r="X76" s="0" t="s">
        <v>288</v>
      </c>
    </row>
    <row r="77">
      <c r="A77" s="0" t="s">
        <v>282</v>
      </c>
      <c r="B77" s="0" t="s">
        <v>282</v>
      </c>
      <c r="C77" s="0" t="s">
        <v>289</v>
      </c>
      <c r="D77" s="0" t="s">
        <v>27</v>
      </c>
      <c r="E77" s="0" t="s">
        <v>105</v>
      </c>
      <c r="F77" s="0" t="s">
        <v>29</v>
      </c>
      <c r="G77" s="0" t="s">
        <v>290</v>
      </c>
      <c r="H77" s="0" t="s">
        <v>290</v>
      </c>
      <c r="I77" s="0" t="s">
        <v>291</v>
      </c>
      <c r="J77" s="0" t="s">
        <v>291</v>
      </c>
      <c r="K77" s="0" t="s">
        <v>292</v>
      </c>
      <c r="L77" s="0" t="s">
        <v>32</v>
      </c>
      <c r="M77" s="0" t="s">
        <v>61</v>
      </c>
      <c r="N77" s="0" t="s">
        <v>293</v>
      </c>
      <c r="O77" s="0" t="s">
        <v>35</v>
      </c>
      <c r="P77" s="0" t="s">
        <v>36</v>
      </c>
      <c r="Q77" s="0" t="s">
        <v>292</v>
      </c>
      <c r="R77" s="0" t="s">
        <v>289</v>
      </c>
      <c r="S77" s="0" t="s">
        <v>293</v>
      </c>
      <c r="T77" s="0">
        <f>HYPERLINK("https://ec-uat-storage.kldlms.com/ItemVariation/08DCC28C-0ADD-4CFD-82F6-2356ECDC0F08/DF7094B0-C9AD-4EB9-BC56-6E09A722AAB2.jpeg","Variant Image")</f>
      </c>
      <c r="U77" s="0">
        <f>HYPERLINK("https://ec-qa-storage.kldlms.com/Item/08DCC28C-0ADD-4CFD-82F6-2356ECDC0F08/B5C18232-F239-45B7-96ED-E3E6A3BA4F9E.jpeg","Thumbnail Image")</f>
      </c>
      <c r="V77" s="0">
        <f>HYPERLINK("https://ec-qa-storage.kldlms.com/ItemGallery/08DCC28C-0ADD-4CFD-82F6-2356ECDC0F08/BD02D3F0-7EBE-44E6-8E18-02F428113279.jpeg","Gallery Image ")</f>
      </c>
      <c r="W77" s="0" t="s">
        <v>22</v>
      </c>
      <c r="X77" s="0" t="s">
        <v>294</v>
      </c>
    </row>
    <row r="78">
      <c r="A78" s="0" t="s">
        <v>282</v>
      </c>
      <c r="B78" s="0" t="s">
        <v>282</v>
      </c>
      <c r="C78" s="0" t="s">
        <v>295</v>
      </c>
      <c r="D78" s="0" t="s">
        <v>27</v>
      </c>
      <c r="E78" s="0" t="s">
        <v>105</v>
      </c>
      <c r="F78" s="0" t="s">
        <v>29</v>
      </c>
      <c r="G78" s="0" t="s">
        <v>182</v>
      </c>
      <c r="H78" s="0" t="s">
        <v>182</v>
      </c>
      <c r="I78" s="0" t="s">
        <v>296</v>
      </c>
      <c r="J78" s="0" t="s">
        <v>296</v>
      </c>
      <c r="K78" s="0" t="s">
        <v>131</v>
      </c>
      <c r="L78" s="0" t="s">
        <v>32</v>
      </c>
      <c r="M78" s="0" t="s">
        <v>61</v>
      </c>
      <c r="N78" s="0" t="s">
        <v>297</v>
      </c>
      <c r="O78" s="0" t="s">
        <v>110</v>
      </c>
      <c r="P78" s="0" t="s">
        <v>36</v>
      </c>
      <c r="Q78" s="0" t="s">
        <v>131</v>
      </c>
      <c r="R78" s="0" t="s">
        <v>295</v>
      </c>
      <c r="S78" s="0" t="s">
        <v>297</v>
      </c>
      <c r="T78" s="0">
        <f>HYPERLINK("https://ec-uat-storage.kldlms.com/ItemVariation/08DCC28D-744E-45AC-8799-08E956D26FEF/43E89C7D-CC3C-470D-8741-F6E7B3D669EA.jpeg","Variant Image")</f>
      </c>
      <c r="U78" s="0">
        <f>HYPERLINK("https://ec-qa-storage.kldlms.com/Item/08DCC28D-744E-45AC-8799-08E956D26FEF/05DB826A-D952-4617-BEA0-B23F1E704C1E.jpeg","Thumbnail Image")</f>
      </c>
      <c r="V78" s="0">
        <f>HYPERLINK("https://ec-qa-storage.kldlms.com/ItemGallery/08DCC28D-744E-45AC-8799-08E956D26FEF/38FD9BD7-8022-4BE1-94AC-2E6A0C44842B.jpeg","Gallery Image ")</f>
      </c>
      <c r="W78" s="0" t="s">
        <v>22</v>
      </c>
      <c r="X78" s="0" t="s">
        <v>298</v>
      </c>
    </row>
    <row r="79">
      <c r="A79" s="0" t="s">
        <v>282</v>
      </c>
      <c r="B79" s="0" t="s">
        <v>282</v>
      </c>
      <c r="C79" s="0" t="s">
        <v>299</v>
      </c>
      <c r="D79" s="0" t="s">
        <v>27</v>
      </c>
      <c r="E79" s="0" t="s">
        <v>105</v>
      </c>
      <c r="F79" s="0" t="s">
        <v>29</v>
      </c>
      <c r="G79" s="0" t="s">
        <v>284</v>
      </c>
      <c r="H79" s="0" t="s">
        <v>284</v>
      </c>
      <c r="I79" s="0" t="s">
        <v>300</v>
      </c>
      <c r="J79" s="0" t="s">
        <v>300</v>
      </c>
      <c r="K79" s="0" t="s">
        <v>301</v>
      </c>
      <c r="L79" s="0" t="s">
        <v>32</v>
      </c>
      <c r="M79" s="0" t="s">
        <v>61</v>
      </c>
      <c r="N79" s="0" t="s">
        <v>302</v>
      </c>
      <c r="O79" s="0" t="s">
        <v>35</v>
      </c>
      <c r="P79" s="0" t="s">
        <v>36</v>
      </c>
      <c r="Q79" s="0" t="s">
        <v>301</v>
      </c>
      <c r="R79" s="0" t="s">
        <v>299</v>
      </c>
      <c r="S79" s="0" t="s">
        <v>302</v>
      </c>
      <c r="T79" s="0">
        <f>HYPERLINK("https://ec-uat-storage.kldlms.com/ItemVariation/08DCC28F-0ACF-4B83-8850-0314B2A1A20C/EB3FCD7A-7D55-41FA-8F42-7A53D83CD46F.jpeg","Variant Image")</f>
      </c>
      <c r="U79" s="0">
        <f>HYPERLINK("https://ec-qa-storage.kldlms.com/Item/08DCC28F-0ACF-4B83-8850-0314B2A1A20C/FBEADCC4-242B-4285-A46D-B476E498420E.jpeg","Thumbnail Image")</f>
      </c>
      <c r="V79" s="0">
        <f>HYPERLINK("https://ec-qa-storage.kldlms.com/ItemGallery/08DCC28F-0ACF-4B83-8850-0314B2A1A20C/6E1D21FF-CE53-45D2-97F0-EE0571ABFC4F.jpeg","Gallery Image ")</f>
      </c>
      <c r="W79" s="0" t="s">
        <v>22</v>
      </c>
      <c r="X79" s="0" t="s">
        <v>303</v>
      </c>
    </row>
    <row r="80">
      <c r="A80" s="0" t="s">
        <v>304</v>
      </c>
      <c r="B80" s="0" t="s">
        <v>304</v>
      </c>
      <c r="C80" s="0" t="s">
        <v>305</v>
      </c>
      <c r="D80" s="0" t="s">
        <v>27</v>
      </c>
      <c r="E80" s="0" t="s">
        <v>105</v>
      </c>
      <c r="F80" s="0" t="s">
        <v>29</v>
      </c>
      <c r="G80" s="0" t="s">
        <v>284</v>
      </c>
      <c r="H80" s="0" t="s">
        <v>284</v>
      </c>
      <c r="I80" s="0" t="s">
        <v>306</v>
      </c>
      <c r="J80" s="0" t="s">
        <v>306</v>
      </c>
      <c r="K80" s="0" t="s">
        <v>286</v>
      </c>
      <c r="L80" s="0" t="s">
        <v>32</v>
      </c>
      <c r="M80" s="0" t="s">
        <v>61</v>
      </c>
      <c r="N80" s="0" t="s">
        <v>266</v>
      </c>
      <c r="O80" s="0" t="s">
        <v>35</v>
      </c>
      <c r="P80" s="0" t="s">
        <v>36</v>
      </c>
      <c r="Q80" s="0" t="s">
        <v>286</v>
      </c>
      <c r="R80" s="0" t="s">
        <v>305</v>
      </c>
      <c r="S80" s="0" t="s">
        <v>266</v>
      </c>
      <c r="T80" s="0">
        <f>HYPERLINK("https://ec-uat-storage.kldlms.com/ItemVariation/08DCC290-C67B-4A8B-82B5-C51DDE09861D/E89F0462-F797-43B1-81D1-161D736DD1DD.jpeg","Variant Image")</f>
      </c>
      <c r="U80" s="0">
        <f>HYPERLINK("https://ec-qa-storage.kldlms.com/Item/08DCC290-C67B-4A8B-82B5-C51DDE09861D/C878B26B-7F2B-482F-B3AA-17021FE4C0F3.jpeg","Thumbnail Image")</f>
      </c>
      <c r="V80" s="0">
        <f>HYPERLINK("https://ec-qa-storage.kldlms.com/ItemGallery/08DCC290-C67B-4A8B-82B5-C51DDE09861D/9AEF3614-4313-4D60-92A2-2875523917B0.jpeg","Gallery Image ")</f>
      </c>
      <c r="W80" s="0" t="s">
        <v>22</v>
      </c>
      <c r="X80" s="0" t="s">
        <v>307</v>
      </c>
    </row>
    <row r="81">
      <c r="A81" s="0" t="s">
        <v>170</v>
      </c>
      <c r="B81" s="0" t="s">
        <v>170</v>
      </c>
      <c r="C81" s="0" t="s">
        <v>308</v>
      </c>
      <c r="D81" s="0" t="s">
        <v>27</v>
      </c>
      <c r="E81" s="0" t="s">
        <v>105</v>
      </c>
      <c r="F81" s="0" t="s">
        <v>29</v>
      </c>
      <c r="G81" s="0" t="s">
        <v>182</v>
      </c>
      <c r="H81" s="0" t="s">
        <v>182</v>
      </c>
      <c r="I81" s="0" t="s">
        <v>309</v>
      </c>
      <c r="J81" s="0" t="s">
        <v>309</v>
      </c>
      <c r="K81" s="0" t="s">
        <v>310</v>
      </c>
      <c r="L81" s="0" t="s">
        <v>32</v>
      </c>
      <c r="M81" s="0" t="s">
        <v>61</v>
      </c>
      <c r="N81" s="0" t="s">
        <v>109</v>
      </c>
      <c r="O81" s="0" t="s">
        <v>110</v>
      </c>
      <c r="P81" s="0" t="s">
        <v>134</v>
      </c>
      <c r="Q81" s="0" t="s">
        <v>310</v>
      </c>
      <c r="R81" s="0" t="s">
        <v>308</v>
      </c>
      <c r="S81" s="0" t="s">
        <v>109</v>
      </c>
      <c r="T81" s="0">
        <f>HYPERLINK("https://ec-uat-storage.kldlms.com/ItemVariation/08DCC292-6E70-4ED4-8EDC-9B0432B871DB/585112EA-96B0-44EB-8DDB-1D00D393D69A.jpeg","Variant Image")</f>
      </c>
      <c r="U81" s="0">
        <f>HYPERLINK("https://ec-qa-storage.kldlms.com/Item/08DCC292-6E70-4ED4-8EDC-9B0432B871DB/BD747EAA-E34C-4D75-AC59-0D40BE54BC33.jpeg","Thumbnail Image")</f>
      </c>
      <c r="V81" s="0">
        <f>HYPERLINK("https://ec-qa-storage.kldlms.com/ItemGallery/08DCC292-6E70-4ED4-8EDC-9B0432B871DB/0D2802BE-0192-4331-A6A4-7B5B11D511A7.jpeg","Gallery Image ")</f>
      </c>
      <c r="W81" s="0" t="s">
        <v>22</v>
      </c>
      <c r="X81" s="0" t="s">
        <v>311</v>
      </c>
    </row>
    <row r="82">
      <c r="A82" s="0" t="s">
        <v>312</v>
      </c>
      <c r="B82" s="0" t="s">
        <v>313</v>
      </c>
      <c r="C82" s="0" t="s">
        <v>314</v>
      </c>
      <c r="D82" s="0" t="s">
        <v>27</v>
      </c>
      <c r="E82" s="0" t="s">
        <v>315</v>
      </c>
      <c r="F82" s="0" t="s">
        <v>29</v>
      </c>
      <c r="G82" s="0" t="s">
        <v>316</v>
      </c>
      <c r="H82" s="0" t="s">
        <v>317</v>
      </c>
      <c r="I82" s="0" t="s">
        <v>318</v>
      </c>
      <c r="J82" s="0" t="s">
        <v>319</v>
      </c>
      <c r="K82" s="0" t="s">
        <v>174</v>
      </c>
      <c r="L82" s="0" t="s">
        <v>32</v>
      </c>
      <c r="M82" s="0" t="s">
        <v>61</v>
      </c>
      <c r="N82" s="0" t="s">
        <v>110</v>
      </c>
      <c r="O82" s="0" t="s">
        <v>110</v>
      </c>
      <c r="P82" s="0" t="s">
        <v>36</v>
      </c>
      <c r="Q82" s="0" t="s">
        <v>174</v>
      </c>
      <c r="R82" s="0" t="s">
        <v>320</v>
      </c>
      <c r="S82" s="0" t="s">
        <v>110</v>
      </c>
      <c r="T82" s="0">
        <f>HYPERLINK("https://storage.sslt.ae/ItemVariation/08DCD314-1948-4584-844D-C6397F9C772F/3241F0DF-3CBC-4C18-B079-13A02790F59B.jpeg","Variant Image")</f>
      </c>
      <c r="U82" s="0">
        <f>HYPERLINK("https://ec-qa-storage.kldlms.com/Item/08DCD314-1948-4584-844D-C6397F9C772F/4EE46EFE-E408-4944-AA28-1DCFC8DBB0CA.png","Thumbnail Image")</f>
      </c>
      <c r="V82" s="0">
        <f>HYPERLINK("https://ec-qa-storage.kldlms.com/ItemGallery/08DCD314-1948-4584-844D-C6397F9C772F/AA499125-A2B4-4A67-8057-644008A1C69C.png","Gallery Image ")</f>
      </c>
      <c r="W82" s="0" t="s">
        <v>22</v>
      </c>
    </row>
    <row r="83">
      <c r="A83" s="0" t="s">
        <v>321</v>
      </c>
      <c r="B83" s="0" t="s">
        <v>321</v>
      </c>
      <c r="C83" s="0" t="s">
        <v>322</v>
      </c>
      <c r="D83" s="0" t="s">
        <v>27</v>
      </c>
      <c r="E83" s="0" t="s">
        <v>323</v>
      </c>
      <c r="F83" s="0" t="s">
        <v>29</v>
      </c>
      <c r="G83" s="0" t="s">
        <v>324</v>
      </c>
      <c r="H83" s="0" t="s">
        <v>324</v>
      </c>
      <c r="I83" s="0" t="s">
        <v>325</v>
      </c>
      <c r="J83" s="0" t="s">
        <v>325</v>
      </c>
      <c r="K83" s="0" t="s">
        <v>326</v>
      </c>
      <c r="L83" s="0" t="s">
        <v>32</v>
      </c>
      <c r="M83" s="0" t="s">
        <v>61</v>
      </c>
      <c r="N83" s="0" t="s">
        <v>164</v>
      </c>
      <c r="O83" s="0" t="s">
        <v>110</v>
      </c>
      <c r="P83" s="0" t="s">
        <v>327</v>
      </c>
      <c r="Q83" s="0" t="s">
        <v>326</v>
      </c>
      <c r="R83" s="0" t="s">
        <v>322</v>
      </c>
      <c r="S83" s="0" t="s">
        <v>164</v>
      </c>
      <c r="T83" s="0">
        <f>HYPERLINK("","Variant Image")</f>
      </c>
      <c r="U83" s="0">
        <f>HYPERLINK("https://ec-qa-storage.kldlms.com/Item/08DCD319-3D38-46B6-88C9-DEF13A08A9A7/21B18C35-932F-4568-8F59-48AFFAA08F73.png","Thumbnail Image")</f>
      </c>
      <c r="V83" s="0">
        <f>HYPERLINK("https://ec-qa-storage.kldlms.com/ItemGallery/08DCD319-3D38-46B6-88C9-DEF13A08A9A7/76D5E024-C0A4-4698-A49D-EEBB4E4B43AA.png","Gallery Image ")</f>
      </c>
      <c r="W83" s="0" t="s">
        <v>22</v>
      </c>
      <c r="X83" s="0" t="s">
        <v>328</v>
      </c>
    </row>
    <row r="84">
      <c r="A84" s="0" t="s">
        <v>321</v>
      </c>
      <c r="B84" s="0" t="s">
        <v>321</v>
      </c>
      <c r="C84" s="0" t="s">
        <v>329</v>
      </c>
      <c r="D84" s="0" t="s">
        <v>27</v>
      </c>
      <c r="E84" s="0" t="s">
        <v>323</v>
      </c>
      <c r="F84" s="0" t="s">
        <v>29</v>
      </c>
      <c r="G84" s="0" t="s">
        <v>39</v>
      </c>
      <c r="H84" s="0" t="s">
        <v>39</v>
      </c>
      <c r="I84" s="0" t="s">
        <v>330</v>
      </c>
      <c r="J84" s="0" t="s">
        <v>331</v>
      </c>
      <c r="K84" s="0" t="s">
        <v>332</v>
      </c>
      <c r="L84" s="0" t="s">
        <v>32</v>
      </c>
      <c r="M84" s="0" t="s">
        <v>61</v>
      </c>
      <c r="N84" s="0" t="s">
        <v>110</v>
      </c>
      <c r="O84" s="0" t="s">
        <v>110</v>
      </c>
      <c r="P84" s="0" t="s">
        <v>39</v>
      </c>
      <c r="Q84" s="0" t="s">
        <v>332</v>
      </c>
      <c r="R84" s="0" t="s">
        <v>329</v>
      </c>
      <c r="S84" s="0" t="s">
        <v>110</v>
      </c>
      <c r="T84" s="0">
        <f>HYPERLINK("https://storage.sslt.ae/ItemVariation/08DCD31C-1643-4E3A-8B75-A3CB47DEED21/6F02F248-9F93-454E-B25C-C8220C6BF6B0.png","Variant Image")</f>
      </c>
      <c r="U84" s="0">
        <f>HYPERLINK("https://ec-qa-storage.kldlms.com/Item/08DCD31C-1643-4E3A-8B75-A3CB47DEED21/F388DC9A-386E-48F5-9EE4-B5B19286264E.png","Thumbnail Image")</f>
      </c>
      <c r="V84" s="0">
        <f>HYPERLINK("https://ec-qa-storage.kldlms.com/ItemGallery/08DCD31C-1643-4E3A-8B75-A3CB47DEED21/EEB84B9D-6802-48F1-8603-A335C3CDA981.png","Gallery Image ")</f>
      </c>
      <c r="W84" s="0" t="s">
        <v>22</v>
      </c>
      <c r="X84" s="0" t="s">
        <v>333</v>
      </c>
    </row>
    <row r="85">
      <c r="A85" s="0" t="s">
        <v>321</v>
      </c>
      <c r="B85" s="0" t="s">
        <v>321</v>
      </c>
      <c r="C85" s="0" t="s">
        <v>334</v>
      </c>
      <c r="D85" s="0" t="s">
        <v>27</v>
      </c>
      <c r="E85" s="0" t="s">
        <v>323</v>
      </c>
      <c r="F85" s="0" t="s">
        <v>29</v>
      </c>
      <c r="G85" s="0" t="s">
        <v>39</v>
      </c>
      <c r="H85" s="0" t="s">
        <v>39</v>
      </c>
      <c r="I85" s="0" t="s">
        <v>335</v>
      </c>
      <c r="J85" s="0" t="s">
        <v>335</v>
      </c>
      <c r="K85" s="0" t="s">
        <v>336</v>
      </c>
      <c r="L85" s="0" t="s">
        <v>32</v>
      </c>
      <c r="M85" s="0" t="s">
        <v>61</v>
      </c>
      <c r="N85" s="0" t="s">
        <v>337</v>
      </c>
      <c r="O85" s="0" t="s">
        <v>110</v>
      </c>
      <c r="P85" s="0" t="s">
        <v>39</v>
      </c>
      <c r="Q85" s="0" t="s">
        <v>336</v>
      </c>
      <c r="R85" s="0" t="s">
        <v>334</v>
      </c>
      <c r="S85" s="0" t="s">
        <v>337</v>
      </c>
      <c r="T85" s="0">
        <f>HYPERLINK("https://storage.sslt.ae/ItemVariation/08DCD31D-61A0-4538-806E-7081DD2E644E/38763248-5A0B-4633-851C-AAD49123947B.png","Variant Image")</f>
      </c>
      <c r="U85" s="0">
        <f>HYPERLINK("https://ec-qa-storage.kldlms.com/Item/08DCD31D-61A0-4538-806E-7081DD2E644E/B68ADF80-7411-4510-91B9-EDEC94BC3A03.png","Thumbnail Image")</f>
      </c>
      <c r="V85" s="0">
        <f>HYPERLINK("https://ec-qa-storage.kldlms.com/ItemGallery/08DCD31D-61A0-4538-806E-7081DD2E644E/0A58A91E-97DB-42BA-9BC1-5D54EB32EA30.png","Gallery Image ")</f>
      </c>
      <c r="W85" s="0" t="s">
        <v>22</v>
      </c>
      <c r="X85" s="0" t="s">
        <v>338</v>
      </c>
    </row>
    <row r="86">
      <c r="A86" s="0" t="s">
        <v>321</v>
      </c>
      <c r="B86" s="0" t="s">
        <v>321</v>
      </c>
      <c r="C86" s="0" t="s">
        <v>339</v>
      </c>
      <c r="D86" s="0" t="s">
        <v>27</v>
      </c>
      <c r="E86" s="0" t="s">
        <v>323</v>
      </c>
      <c r="F86" s="0" t="s">
        <v>29</v>
      </c>
      <c r="G86" s="0" t="s">
        <v>340</v>
      </c>
      <c r="H86" s="0" t="s">
        <v>340</v>
      </c>
      <c r="I86" s="0" t="s">
        <v>341</v>
      </c>
      <c r="J86" s="0" t="s">
        <v>341</v>
      </c>
      <c r="K86" s="0" t="s">
        <v>342</v>
      </c>
      <c r="L86" s="0" t="s">
        <v>32</v>
      </c>
      <c r="M86" s="0" t="s">
        <v>61</v>
      </c>
      <c r="N86" s="0" t="s">
        <v>276</v>
      </c>
      <c r="O86" s="0" t="s">
        <v>110</v>
      </c>
      <c r="P86" s="0" t="s">
        <v>343</v>
      </c>
      <c r="Q86" s="0" t="s">
        <v>342</v>
      </c>
      <c r="R86" s="0" t="s">
        <v>339</v>
      </c>
      <c r="S86" s="0" t="s">
        <v>276</v>
      </c>
      <c r="T86" s="0">
        <f>HYPERLINK("https://storage.sslt.ae/ItemVariation/08DCD32B-AEC7-472E-8C1C-9BA052B34CDE/ACFCE325-0C6A-4FEE-B615-2E013B6927FA.png","Variant Image")</f>
      </c>
      <c r="U86" s="0">
        <f>HYPERLINK("https://ec-qa-storage.kldlms.com/Item/08DCD32B-AEC7-472E-8C1C-9BA052B34CDE/4BB4ABAA-0208-4F45-86CD-5EFE8CDDA6C4.png","Thumbnail Image")</f>
      </c>
      <c r="V86" s="0">
        <f>HYPERLINK("https://ec-qa-storage.kldlms.com/ItemGallery/08DCD32B-AEC7-472E-8C1C-9BA052B34CDE/56ED862A-1772-47EF-8255-6C51423567A1.png","Gallery Image ")</f>
      </c>
      <c r="W86" s="0" t="s">
        <v>22</v>
      </c>
      <c r="X86" s="0" t="s">
        <v>344</v>
      </c>
    </row>
    <row r="87">
      <c r="A87" s="0" t="s">
        <v>321</v>
      </c>
      <c r="B87" s="0" t="s">
        <v>321</v>
      </c>
      <c r="C87" s="0" t="s">
        <v>345</v>
      </c>
      <c r="D87" s="0" t="s">
        <v>27</v>
      </c>
      <c r="E87" s="0" t="s">
        <v>323</v>
      </c>
      <c r="F87" s="0" t="s">
        <v>29</v>
      </c>
      <c r="G87" s="0" t="s">
        <v>346</v>
      </c>
      <c r="H87" s="0" t="s">
        <v>346</v>
      </c>
      <c r="I87" s="0" t="s">
        <v>347</v>
      </c>
      <c r="J87" s="0" t="s">
        <v>347</v>
      </c>
      <c r="K87" s="0" t="s">
        <v>348</v>
      </c>
      <c r="L87" s="0" t="s">
        <v>32</v>
      </c>
      <c r="M87" s="0" t="s">
        <v>61</v>
      </c>
      <c r="N87" s="0" t="s">
        <v>349</v>
      </c>
      <c r="O87" s="0" t="s">
        <v>110</v>
      </c>
      <c r="P87" s="0" t="s">
        <v>134</v>
      </c>
      <c r="Q87" s="0" t="s">
        <v>348</v>
      </c>
      <c r="R87" s="0" t="s">
        <v>345</v>
      </c>
      <c r="S87" s="0" t="s">
        <v>349</v>
      </c>
      <c r="T87" s="0">
        <f>HYPERLINK("https://storage.sslt.ae/ItemVariation/08DCD32E-AB89-4F5A-84FC-C3D78F62CB5D/46398729-01B7-4D79-8AA5-8724B0E1BD44.webp","Variant Image")</f>
      </c>
      <c r="U87" s="0">
        <f>HYPERLINK("https://ec-qa-storage.kldlms.com/Item/08DCD32E-AB89-4F5A-84FC-C3D78F62CB5D/CD534CB5-2DBD-4A70-AF2C-13256738DEA1.png","Thumbnail Image")</f>
      </c>
      <c r="V87" s="0">
        <f>HYPERLINK("https://ec-qa-storage.kldlms.com/ItemGallery/08DCD32E-AB89-4F5A-84FC-C3D78F62CB5D/DD5052F4-A836-4CDB-B287-1AD79D10664C.png","Gallery Image ")</f>
      </c>
      <c r="W87" s="0" t="s">
        <v>22</v>
      </c>
      <c r="X87" s="0" t="s">
        <v>350</v>
      </c>
    </row>
    <row r="88">
      <c r="A88" s="0" t="s">
        <v>321</v>
      </c>
      <c r="B88" s="0" t="s">
        <v>321</v>
      </c>
      <c r="C88" s="0" t="s">
        <v>351</v>
      </c>
      <c r="D88" s="0" t="s">
        <v>27</v>
      </c>
      <c r="E88" s="0" t="s">
        <v>323</v>
      </c>
      <c r="F88" s="0" t="s">
        <v>29</v>
      </c>
      <c r="G88" s="0" t="s">
        <v>352</v>
      </c>
      <c r="H88" s="0" t="s">
        <v>352</v>
      </c>
      <c r="I88" s="0" t="s">
        <v>353</v>
      </c>
      <c r="J88" s="0" t="s">
        <v>354</v>
      </c>
      <c r="K88" s="0" t="s">
        <v>355</v>
      </c>
      <c r="L88" s="0" t="s">
        <v>32</v>
      </c>
      <c r="M88" s="0" t="s">
        <v>61</v>
      </c>
      <c r="N88" s="0" t="s">
        <v>110</v>
      </c>
      <c r="O88" s="0" t="s">
        <v>110</v>
      </c>
      <c r="P88" s="0" t="s">
        <v>134</v>
      </c>
      <c r="Q88" s="0" t="s">
        <v>355</v>
      </c>
      <c r="R88" s="0" t="s">
        <v>351</v>
      </c>
      <c r="S88" s="0" t="s">
        <v>110</v>
      </c>
      <c r="T88" s="0">
        <f>HYPERLINK("https://storage.sslt.ae/ItemVariation/08DCD331-95FF-4D7A-863F-E49483333549/AD1E208A-B244-46D1-9D58-B6AF8D3D8ADA.webp","Variant Image")</f>
      </c>
      <c r="U88" s="0">
        <f>HYPERLINK("https://ec-qa-storage.kldlms.com/Item/08DCD331-95FF-4D7A-863F-E49483333549/B1085CCF-F3BA-47FE-B88B-8DDEDE62D131.png","Thumbnail Image")</f>
      </c>
      <c r="V88" s="0">
        <f>HYPERLINK("https://ec-qa-storage.kldlms.com/ItemGallery/08DCD331-95FF-4D7A-863F-E49483333549/733379F5-3AB1-4A22-AE28-D0D3943E5D3E.png","Gallery Image ")</f>
      </c>
      <c r="W88" s="0" t="s">
        <v>22</v>
      </c>
      <c r="X88" s="0" t="s">
        <v>356</v>
      </c>
    </row>
    <row r="89">
      <c r="A89" s="0" t="s">
        <v>321</v>
      </c>
      <c r="B89" s="0" t="s">
        <v>321</v>
      </c>
      <c r="C89" s="0" t="s">
        <v>357</v>
      </c>
      <c r="D89" s="0" t="s">
        <v>27</v>
      </c>
      <c r="E89" s="0" t="s">
        <v>323</v>
      </c>
      <c r="F89" s="0" t="s">
        <v>29</v>
      </c>
      <c r="G89" s="0" t="s">
        <v>358</v>
      </c>
      <c r="H89" s="0" t="s">
        <v>358</v>
      </c>
      <c r="I89" s="0" t="s">
        <v>359</v>
      </c>
      <c r="J89" s="0" t="s">
        <v>359</v>
      </c>
      <c r="K89" s="0" t="s">
        <v>360</v>
      </c>
      <c r="L89" s="0" t="s">
        <v>32</v>
      </c>
      <c r="M89" s="0" t="s">
        <v>61</v>
      </c>
      <c r="N89" s="0" t="s">
        <v>110</v>
      </c>
      <c r="O89" s="0" t="s">
        <v>110</v>
      </c>
      <c r="P89" s="0" t="s">
        <v>134</v>
      </c>
      <c r="Q89" s="0" t="s">
        <v>361</v>
      </c>
      <c r="R89" s="0" t="s">
        <v>362</v>
      </c>
      <c r="S89" s="0" t="s">
        <v>110</v>
      </c>
      <c r="T89" s="0">
        <f>HYPERLINK("https://storage.sslt.ae/ItemVariation/08DCD3BA-E612-487F-81F8-6778E93A2A72/4C3B2A61-66A1-4FB0-AE5C-4DE32C87DD11.webp","Variant Image")</f>
      </c>
      <c r="U89" s="0">
        <f>HYPERLINK("https://ec-qa-storage.kldlms.com/Item/08DCD3BA-E612-487F-81F8-6778E93A2A72/877D0D74-D8E1-4C88-8F6D-250B169208EF.png","Thumbnail Image")</f>
      </c>
      <c r="V89" s="0">
        <f>HYPERLINK("https://ec-qa-storage.kldlms.com/ItemGallery/08DCD3BA-E612-487F-81F8-6778E93A2A72/CC87A983-D7D4-46CB-9440-B16D9B26C79E.png","Gallery Image ")</f>
      </c>
      <c r="W89" s="0" t="s">
        <v>22</v>
      </c>
      <c r="X89" s="0" t="s">
        <v>363</v>
      </c>
    </row>
    <row r="90">
      <c r="P90" s="0" t="s">
        <v>36</v>
      </c>
      <c r="Q90" s="0" t="s">
        <v>360</v>
      </c>
      <c r="R90" s="0" t="s">
        <v>357</v>
      </c>
      <c r="S90" s="0" t="s">
        <v>110</v>
      </c>
      <c r="T90" s="0">
        <f>HYPERLINK("https://storage.sslt.ae/ItemVariation/08DCD3BA-E612-487F-81F8-6778E93A2A72/13BCBE5B-59B6-4931-89D8-F4C834718A15.webp","Variant Image")</f>
      </c>
      <c r="X90" s="0" t="s">
        <v>364</v>
      </c>
    </row>
    <row r="91">
      <c r="A91" s="0" t="s">
        <v>321</v>
      </c>
      <c r="B91" s="0" t="s">
        <v>321</v>
      </c>
      <c r="C91" s="0" t="s">
        <v>362</v>
      </c>
      <c r="D91" s="0" t="s">
        <v>27</v>
      </c>
      <c r="E91" s="0" t="s">
        <v>323</v>
      </c>
      <c r="F91" s="0" t="s">
        <v>29</v>
      </c>
      <c r="G91" s="0" t="s">
        <v>358</v>
      </c>
      <c r="H91" s="0" t="s">
        <v>358</v>
      </c>
      <c r="I91" s="0" t="s">
        <v>365</v>
      </c>
      <c r="J91" s="0" t="s">
        <v>365</v>
      </c>
      <c r="K91" s="0" t="s">
        <v>361</v>
      </c>
      <c r="L91" s="0" t="s">
        <v>32</v>
      </c>
      <c r="M91" s="0" t="s">
        <v>61</v>
      </c>
      <c r="N91" s="0" t="s">
        <v>110</v>
      </c>
      <c r="O91" s="0" t="s">
        <v>110</v>
      </c>
      <c r="P91" s="0" t="s">
        <v>125</v>
      </c>
      <c r="Q91" s="0" t="s">
        <v>361</v>
      </c>
      <c r="R91" s="0" t="s">
        <v>362</v>
      </c>
      <c r="S91" s="0" t="s">
        <v>110</v>
      </c>
      <c r="T91" s="0">
        <f>HYPERLINK("https://storage.sslt.ae/ItemVariation/08DCD3BC-93DF-4C9E-84EA-DD59969ABEF1/47C18554-1FF4-486C-A5AE-738B4B9ECE47.webp","Variant Image")</f>
      </c>
      <c r="U91" s="0">
        <f>HYPERLINK("https://ec-qa-storage.kldlms.com/Item/08DCD3BC-93DF-4C9E-84EA-DD59969ABEF1/51EBBFD9-C0E1-4BEA-97D0-B3BFC062E564.png","Thumbnail Image")</f>
      </c>
      <c r="V91" s="0">
        <f>HYPERLINK("https://ec-qa-storage.kldlms.com/ItemGallery/08DCD3BC-93DF-4C9E-84EA-DD59969ABEF1/8853D6A1-AE99-496B-B78E-2736FF2F4710.png","Gallery Image ")</f>
      </c>
      <c r="W91" s="0" t="s">
        <v>22</v>
      </c>
    </row>
    <row r="92">
      <c r="A92" s="0" t="s">
        <v>321</v>
      </c>
      <c r="B92" s="0" t="s">
        <v>321</v>
      </c>
      <c r="C92" s="0" t="s">
        <v>366</v>
      </c>
      <c r="D92" s="0" t="s">
        <v>27</v>
      </c>
      <c r="E92" s="0" t="s">
        <v>105</v>
      </c>
      <c r="F92" s="0" t="s">
        <v>29</v>
      </c>
      <c r="G92" s="0" t="s">
        <v>367</v>
      </c>
      <c r="H92" s="0" t="s">
        <v>367</v>
      </c>
      <c r="I92" s="0" t="s">
        <v>368</v>
      </c>
      <c r="J92" s="0" t="s">
        <v>368</v>
      </c>
      <c r="K92" s="0" t="s">
        <v>369</v>
      </c>
      <c r="L92" s="0" t="s">
        <v>32</v>
      </c>
      <c r="M92" s="0" t="s">
        <v>61</v>
      </c>
      <c r="N92" s="0" t="s">
        <v>110</v>
      </c>
      <c r="O92" s="0" t="s">
        <v>110</v>
      </c>
      <c r="P92" s="0" t="s">
        <v>39</v>
      </c>
      <c r="Q92" s="0" t="s">
        <v>369</v>
      </c>
      <c r="R92" s="0" t="s">
        <v>370</v>
      </c>
      <c r="S92" s="0" t="s">
        <v>110</v>
      </c>
      <c r="T92" s="0">
        <f>HYPERLINK("https://storage.sslt.ae/ItemVariation/08DCD3C0-25C9-42B4-80D1-2556D2C20A29/B44816D6-C3F3-4E91-B70A-5B3580C1D2DF.png","Variant Image")</f>
      </c>
      <c r="U92" s="0">
        <f>HYPERLINK("https://ec-qa-storage.kldlms.com/Item/08DCD3C0-25C9-42B4-80D1-2556D2C20A29/E262D3CE-9C4C-4083-98F4-2B2531C40457.png","Thumbnail Image")</f>
      </c>
      <c r="V92" s="0">
        <f>HYPERLINK("https://ec-qa-storage.kldlms.com/ItemGallery/08DCD3C0-25C9-42B4-80D1-2556D2C20A29/69766D17-DABE-4BC1-9A0F-66D42C45E392.png","Gallery Image ")</f>
      </c>
      <c r="W92" s="0" t="s">
        <v>22</v>
      </c>
      <c r="X92" s="0" t="s">
        <v>371</v>
      </c>
    </row>
    <row r="93">
      <c r="A93" s="0" t="s">
        <v>321</v>
      </c>
      <c r="B93" s="0" t="s">
        <v>321</v>
      </c>
      <c r="C93" s="0" t="s">
        <v>370</v>
      </c>
      <c r="D93" s="0" t="s">
        <v>27</v>
      </c>
      <c r="E93" s="0" t="s">
        <v>105</v>
      </c>
      <c r="F93" s="0" t="s">
        <v>29</v>
      </c>
      <c r="G93" s="0" t="s">
        <v>367</v>
      </c>
      <c r="H93" s="0" t="s">
        <v>367</v>
      </c>
      <c r="I93" s="0" t="s">
        <v>372</v>
      </c>
      <c r="J93" s="0" t="s">
        <v>372</v>
      </c>
      <c r="K93" s="0" t="s">
        <v>373</v>
      </c>
      <c r="L93" s="0" t="s">
        <v>32</v>
      </c>
      <c r="M93" s="0" t="s">
        <v>61</v>
      </c>
      <c r="N93" s="0" t="s">
        <v>110</v>
      </c>
      <c r="O93" s="0" t="s">
        <v>110</v>
      </c>
      <c r="P93" s="0" t="s">
        <v>175</v>
      </c>
      <c r="Q93" s="0" t="s">
        <v>35</v>
      </c>
      <c r="R93" s="0" t="s">
        <v>92</v>
      </c>
      <c r="S93" s="0" t="s">
        <v>110</v>
      </c>
      <c r="T93" s="0">
        <f>HYPERLINK("https://storage.sslt.ae/ItemVariation/08DCD3C2-E58C-4950-85E4-6530383EEA8A/57AA0101-5CE1-4A92-A053-AAD4D68D6F61.webp","Variant Image")</f>
      </c>
      <c r="U93" s="0">
        <f>HYPERLINK("https://ec-qa-storage.kldlms.com/Item/08DCD3C2-E58C-4950-85E4-6530383EEA8A/F98D08F0-8BAB-4E74-BC0B-F5DC35D34D50.png","Thumbnail Image")</f>
      </c>
      <c r="V93" s="0">
        <f>HYPERLINK("https://ec-qa-storage.kldlms.com/ItemGallery/08DCD3C2-E58C-4950-85E4-6530383EEA8A/08BCEB9C-8E62-4A41-AE42-66817E47233D.png","Gallery Image ")</f>
      </c>
      <c r="W93" s="0" t="s">
        <v>22</v>
      </c>
    </row>
    <row r="94">
      <c r="A94" s="0" t="s">
        <v>321</v>
      </c>
      <c r="B94" s="0" t="s">
        <v>321</v>
      </c>
      <c r="C94" s="0" t="s">
        <v>374</v>
      </c>
      <c r="D94" s="0" t="s">
        <v>27</v>
      </c>
      <c r="E94" s="0" t="s">
        <v>105</v>
      </c>
      <c r="F94" s="0" t="s">
        <v>29</v>
      </c>
      <c r="G94" s="0" t="s">
        <v>367</v>
      </c>
      <c r="H94" s="0" t="s">
        <v>367</v>
      </c>
      <c r="I94" s="0" t="s">
        <v>375</v>
      </c>
      <c r="J94" s="0" t="s">
        <v>375</v>
      </c>
      <c r="K94" s="0" t="s">
        <v>376</v>
      </c>
      <c r="L94" s="0" t="s">
        <v>32</v>
      </c>
      <c r="M94" s="0" t="s">
        <v>61</v>
      </c>
      <c r="N94" s="0" t="s">
        <v>110</v>
      </c>
      <c r="O94" s="0" t="s">
        <v>110</v>
      </c>
      <c r="P94" s="0" t="s">
        <v>134</v>
      </c>
      <c r="Q94" s="0" t="s">
        <v>376</v>
      </c>
      <c r="R94" s="0" t="s">
        <v>374</v>
      </c>
      <c r="S94" s="0" t="s">
        <v>110</v>
      </c>
      <c r="T94" s="0">
        <f>HYPERLINK("https://storage.sslt.ae/ItemVariation/08DCD3C5-8454-4380-838E-C91A28C584E2/726476F9-C5B7-4576-BD23-C8828927BEB9.webp","Variant Image")</f>
      </c>
      <c r="U94" s="0">
        <f>HYPERLINK("https://ec-qa-storage.kldlms.com/Item/08DCD3C5-8454-4380-838E-C91A28C584E2/059AD8BE-6226-4EAA-8174-57337E964259.png","Thumbnail Image")</f>
      </c>
      <c r="V94" s="0">
        <f>HYPERLINK("https://ec-qa-storage.kldlms.com/ItemGallery/08DCD3C5-8454-4380-838E-C91A28C584E2/A716D8FE-E93F-45BA-B399-C6585B952670.png","Gallery Image ")</f>
      </c>
      <c r="W94" s="0" t="s">
        <v>22</v>
      </c>
    </row>
    <row r="95">
      <c r="A95" s="0" t="s">
        <v>321</v>
      </c>
      <c r="B95" s="0" t="s">
        <v>321</v>
      </c>
      <c r="C95" s="0" t="s">
        <v>377</v>
      </c>
      <c r="D95" s="0" t="s">
        <v>27</v>
      </c>
      <c r="E95" s="0" t="s">
        <v>323</v>
      </c>
      <c r="F95" s="0" t="s">
        <v>29</v>
      </c>
      <c r="G95" s="0" t="s">
        <v>378</v>
      </c>
      <c r="H95" s="0" t="s">
        <v>378</v>
      </c>
      <c r="I95" s="0" t="s">
        <v>379</v>
      </c>
      <c r="J95" s="0" t="s">
        <v>379</v>
      </c>
      <c r="K95" s="0" t="s">
        <v>380</v>
      </c>
      <c r="L95" s="0" t="s">
        <v>32</v>
      </c>
      <c r="M95" s="0" t="s">
        <v>61</v>
      </c>
      <c r="N95" s="0" t="s">
        <v>110</v>
      </c>
      <c r="O95" s="0" t="s">
        <v>110</v>
      </c>
      <c r="P95" s="0" t="s">
        <v>343</v>
      </c>
      <c r="Q95" s="0" t="s">
        <v>380</v>
      </c>
      <c r="R95" s="0" t="s">
        <v>377</v>
      </c>
      <c r="S95" s="0" t="s">
        <v>110</v>
      </c>
      <c r="T95" s="0">
        <f>HYPERLINK("https://storage.sslt.ae/ItemVariation/08DCD3C7-34C8-4BDB-84D2-5107F304A2CE/9933B2D3-547E-4218-8F51-898D0341D7D8.png","Variant Image")</f>
      </c>
      <c r="U95" s="0">
        <f>HYPERLINK("https://ec-qa-storage.kldlms.com/Item/08DCD3C7-34C8-4BDB-84D2-5107F304A2CE/DD0284C6-87B7-4B1F-A548-8ECB1CFF4CD2.png","Thumbnail Image")</f>
      </c>
      <c r="V95" s="0">
        <f>HYPERLINK("https://ec-qa-storage.kldlms.com/ItemGallery/08DCD3C7-34C8-4BDB-84D2-5107F304A2CE/35A4B5E4-31D4-4470-91F9-20418BAB20D7.png","Gallery Image ")</f>
      </c>
      <c r="W95" s="0" t="s">
        <v>22</v>
      </c>
      <c r="X95" s="0" t="s">
        <v>381</v>
      </c>
    </row>
    <row r="96">
      <c r="A96" s="0" t="s">
        <v>321</v>
      </c>
      <c r="B96" s="0" t="s">
        <v>321</v>
      </c>
      <c r="C96" s="0" t="s">
        <v>382</v>
      </c>
      <c r="D96" s="0" t="s">
        <v>27</v>
      </c>
      <c r="E96" s="0" t="s">
        <v>323</v>
      </c>
      <c r="F96" s="0" t="s">
        <v>29</v>
      </c>
      <c r="G96" s="0" t="s">
        <v>383</v>
      </c>
      <c r="H96" s="0" t="s">
        <v>383</v>
      </c>
      <c r="I96" s="0" t="s">
        <v>384</v>
      </c>
      <c r="J96" s="0" t="s">
        <v>384</v>
      </c>
      <c r="K96" s="0" t="s">
        <v>385</v>
      </c>
      <c r="L96" s="0" t="s">
        <v>32</v>
      </c>
      <c r="M96" s="0" t="s">
        <v>61</v>
      </c>
      <c r="N96" s="0" t="s">
        <v>110</v>
      </c>
      <c r="O96" s="0" t="s">
        <v>110</v>
      </c>
      <c r="P96" s="0" t="s">
        <v>386</v>
      </c>
      <c r="Q96" s="0" t="s">
        <v>387</v>
      </c>
      <c r="R96" s="0" t="s">
        <v>382</v>
      </c>
      <c r="S96" s="0" t="s">
        <v>110</v>
      </c>
      <c r="T96" s="0">
        <f>HYPERLINK("https://storage.sslt.ae/ItemVariation/08DCD3C9-ACC6-4131-8C3B-AFCC43144055/C790FEA8-A9EE-421B-BD0F-3D3A26E8AB80.webp","Variant Image")</f>
      </c>
      <c r="U96" s="0">
        <f>HYPERLINK("https://ec-qa-storage.kldlms.com/Item/08DCD3C9-ACC6-4131-8C3B-AFCC43144055/D8CF0703-D0BF-45BD-AC33-2759493AB1FD.png","Thumbnail Image")</f>
      </c>
      <c r="V96" s="0">
        <f>HYPERLINK("https://ec-qa-storage.kldlms.com/ItemGallery/08DCD3C9-ACC6-4131-8C3B-AFCC43144055/CA475347-420A-486F-BE61-E1FE3389DD09.png","Gallery Image ")</f>
      </c>
      <c r="W96" s="0" t="s">
        <v>22</v>
      </c>
      <c r="X96" s="0" t="s">
        <v>388</v>
      </c>
    </row>
    <row r="97">
      <c r="A97" s="0" t="s">
        <v>321</v>
      </c>
      <c r="B97" s="0" t="s">
        <v>321</v>
      </c>
      <c r="C97" s="0" t="s">
        <v>389</v>
      </c>
      <c r="D97" s="0" t="s">
        <v>27</v>
      </c>
      <c r="E97" s="0" t="s">
        <v>323</v>
      </c>
      <c r="F97" s="0" t="s">
        <v>29</v>
      </c>
      <c r="G97" s="0" t="s">
        <v>383</v>
      </c>
      <c r="H97" s="0" t="s">
        <v>383</v>
      </c>
      <c r="I97" s="0" t="s">
        <v>390</v>
      </c>
      <c r="J97" s="0" t="s">
        <v>390</v>
      </c>
      <c r="K97" s="0" t="s">
        <v>391</v>
      </c>
      <c r="L97" s="0" t="s">
        <v>32</v>
      </c>
      <c r="M97" s="0" t="s">
        <v>61</v>
      </c>
      <c r="N97" s="0" t="s">
        <v>110</v>
      </c>
      <c r="O97" s="0" t="s">
        <v>110</v>
      </c>
      <c r="P97" s="0" t="s">
        <v>386</v>
      </c>
      <c r="Q97" s="0" t="s">
        <v>35</v>
      </c>
      <c r="R97" s="0" t="s">
        <v>389</v>
      </c>
      <c r="S97" s="0" t="s">
        <v>110</v>
      </c>
      <c r="T97" s="0">
        <f>HYPERLINK("https://storage.sslt.ae/ItemVariation/08DCD3CB-B360-4F76-8704-D33973B371C9/6155FEC7-D69A-4DEF-AE48-CB1AD566448F.webp","Variant Image")</f>
      </c>
      <c r="U97" s="0">
        <f>HYPERLINK("https://ec-qa-storage.kldlms.com/Item/08DCD3CB-B360-4F76-8704-D33973B371C9/32BC484C-ACED-4ED6-9BDB-002C09DF3953.png","Thumbnail Image")</f>
      </c>
      <c r="V97" s="0">
        <f>HYPERLINK("https://ec-qa-storage.kldlms.com/ItemGallery/08DCD3CB-B360-4F76-8704-D33973B371C9/57C5D8DE-4B85-4DE8-9066-2D2324A96D8E.png","Gallery Image ")</f>
      </c>
      <c r="W97" s="0" t="s">
        <v>22</v>
      </c>
    </row>
    <row r="98">
      <c r="A98" s="0" t="s">
        <v>321</v>
      </c>
      <c r="B98" s="0" t="s">
        <v>321</v>
      </c>
      <c r="C98" s="0" t="s">
        <v>392</v>
      </c>
      <c r="D98" s="0" t="s">
        <v>27</v>
      </c>
      <c r="E98" s="0" t="s">
        <v>105</v>
      </c>
      <c r="F98" s="0" t="s">
        <v>29</v>
      </c>
      <c r="G98" s="0" t="s">
        <v>393</v>
      </c>
      <c r="H98" s="0" t="s">
        <v>393</v>
      </c>
      <c r="I98" s="0" t="s">
        <v>394</v>
      </c>
      <c r="J98" s="0" t="s">
        <v>394</v>
      </c>
      <c r="K98" s="0" t="s">
        <v>395</v>
      </c>
      <c r="L98" s="0" t="s">
        <v>32</v>
      </c>
      <c r="M98" s="0" t="s">
        <v>61</v>
      </c>
      <c r="N98" s="0" t="s">
        <v>110</v>
      </c>
      <c r="O98" s="0" t="s">
        <v>110</v>
      </c>
      <c r="P98" s="0" t="s">
        <v>134</v>
      </c>
      <c r="Q98" s="0" t="s">
        <v>32</v>
      </c>
      <c r="R98" s="0" t="s">
        <v>392</v>
      </c>
      <c r="S98" s="0" t="s">
        <v>110</v>
      </c>
      <c r="T98" s="0">
        <f>HYPERLINK("https://storage.sslt.ae/ItemVariation/08DCD618-E43D-41FB-87C0-4429CAAB4B0F/E5B5DEBA-7FC5-4413-8610-4F2D2C21E2A0.png","Variant Image")</f>
      </c>
      <c r="U98" s="0">
        <f>HYPERLINK("https://ec-qa-storage.kldlms.com/Item/08DCD618-E43D-41FB-87C0-4429CAAB4B0F/591274A7-F0B4-4932-A30C-08DD2EDD9153.png","Thumbnail Image")</f>
      </c>
      <c r="V98" s="0">
        <f>HYPERLINK("https://ec-qa-storage.kldlms.com/ItemGallery/08DCD618-E43D-41FB-87C0-4429CAAB4B0F/C2865B4F-621B-4007-B9E0-F81690EDC19B.png","Gallery Image ")</f>
      </c>
      <c r="W98" s="0" t="s">
        <v>22</v>
      </c>
    </row>
    <row r="99">
      <c r="A99" s="0" t="s">
        <v>321</v>
      </c>
      <c r="B99" s="0" t="s">
        <v>321</v>
      </c>
      <c r="C99" s="0" t="s">
        <v>396</v>
      </c>
      <c r="D99" s="0" t="s">
        <v>27</v>
      </c>
      <c r="E99" s="0" t="s">
        <v>105</v>
      </c>
      <c r="F99" s="0" t="s">
        <v>29</v>
      </c>
      <c r="G99" s="0" t="s">
        <v>393</v>
      </c>
      <c r="H99" s="0" t="s">
        <v>393</v>
      </c>
      <c r="I99" s="0" t="s">
        <v>397</v>
      </c>
      <c r="J99" s="0" t="s">
        <v>397</v>
      </c>
      <c r="K99" s="0" t="s">
        <v>398</v>
      </c>
      <c r="L99" s="0" t="s">
        <v>32</v>
      </c>
      <c r="M99" s="0" t="s">
        <v>61</v>
      </c>
      <c r="N99" s="0" t="s">
        <v>302</v>
      </c>
      <c r="O99" s="0" t="s">
        <v>110</v>
      </c>
      <c r="P99" s="0" t="s">
        <v>203</v>
      </c>
      <c r="Q99" s="0" t="s">
        <v>399</v>
      </c>
      <c r="R99" s="0" t="s">
        <v>400</v>
      </c>
      <c r="S99" s="0" t="s">
        <v>142</v>
      </c>
      <c r="T99" s="0">
        <f>HYPERLINK("https://storage.sslt.ae/ItemVariation/08DCD61D-3F69-4B0E-8030-C09272726E08/410DD933-9772-4DED-9FF5-61DCBB81110E.webp","Variant Image")</f>
      </c>
      <c r="U99" s="0">
        <f>HYPERLINK("https://ec-qa-storage.kldlms.com/Item/08DCD61D-3F69-4B0E-8030-C09272726E08/72E85485-63FF-407F-823A-765EC912A243.png","Thumbnail Image")</f>
      </c>
      <c r="V99" s="0">
        <f>HYPERLINK("https://ec-qa-storage.kldlms.com/ItemGallery/08DCD61D-3F69-4B0E-8030-C09272726E08/F101DF8D-B0C4-4E05-8B20-7C24EC70D4B0.png","Gallery Image ")</f>
      </c>
      <c r="W99" s="0" t="s">
        <v>22</v>
      </c>
      <c r="X99" s="0" t="s">
        <v>401</v>
      </c>
    </row>
    <row r="100">
      <c r="P100" s="0" t="s">
        <v>277</v>
      </c>
      <c r="Q100" s="0" t="s">
        <v>402</v>
      </c>
      <c r="R100" s="0" t="s">
        <v>403</v>
      </c>
      <c r="S100" s="0" t="s">
        <v>404</v>
      </c>
      <c r="T100" s="0">
        <f>HYPERLINK("https://storage.sslt.ae/ItemVariation/08DCD61D-3F69-4B0E-8030-C09272726E08/4F9BBAD0-5BE6-4CE8-AE73-3ED0ACBFBC60.webp","Variant Image")</f>
      </c>
      <c r="X100" s="0" t="s">
        <v>405</v>
      </c>
    </row>
    <row r="101">
      <c r="P101" s="0" t="s">
        <v>125</v>
      </c>
      <c r="Q101" s="0" t="s">
        <v>395</v>
      </c>
      <c r="R101" s="0" t="s">
        <v>406</v>
      </c>
      <c r="S101" s="0" t="s">
        <v>140</v>
      </c>
      <c r="T101" s="0">
        <f>HYPERLINK("https://storage.sslt.ae/ItemVariation/08DCD61D-3F69-4B0E-8030-C09272726E08/0872FDDC-B897-44A8-A80D-6117E6E3F2AE.webp","Variant Image")</f>
      </c>
      <c r="X101" s="0" t="s">
        <v>407</v>
      </c>
    </row>
    <row r="102">
      <c r="P102" s="0" t="s">
        <v>134</v>
      </c>
      <c r="Q102" s="0" t="s">
        <v>408</v>
      </c>
      <c r="R102" s="0" t="s">
        <v>392</v>
      </c>
      <c r="S102" s="0" t="s">
        <v>409</v>
      </c>
      <c r="T102" s="0">
        <f>HYPERLINK("https://storage.sslt.ae/ItemVariation/08DCD61D-3F69-4B0E-8030-C09272726E08/3CB69D4A-B2EB-499F-9752-2A614D44594B.webp","Variant Image")</f>
      </c>
      <c r="X102" s="0" t="s">
        <v>410</v>
      </c>
    </row>
    <row r="103">
      <c r="P103" s="0" t="s">
        <v>36</v>
      </c>
      <c r="Q103" s="0" t="s">
        <v>398</v>
      </c>
      <c r="R103" s="0" t="s">
        <v>396</v>
      </c>
      <c r="S103" s="0" t="s">
        <v>302</v>
      </c>
      <c r="T103" s="0">
        <f>HYPERLINK("https://storage.sslt.ae/ItemVariation/08DCD61D-3F69-4B0E-8030-C09272726E08/55855E03-F098-420B-8D9F-CFEDB7F2D58F.webp","Variant Image")</f>
      </c>
      <c r="X103" s="0" t="s">
        <v>411</v>
      </c>
    </row>
    <row r="104">
      <c r="A104" s="0" t="s">
        <v>321</v>
      </c>
      <c r="B104" s="0" t="s">
        <v>321</v>
      </c>
      <c r="C104" s="0" t="s">
        <v>400</v>
      </c>
      <c r="D104" s="0" t="s">
        <v>27</v>
      </c>
      <c r="E104" s="0" t="s">
        <v>105</v>
      </c>
      <c r="F104" s="0" t="s">
        <v>29</v>
      </c>
      <c r="G104" s="0" t="s">
        <v>393</v>
      </c>
      <c r="H104" s="0" t="s">
        <v>393</v>
      </c>
      <c r="I104" s="0" t="s">
        <v>412</v>
      </c>
      <c r="J104" s="0" t="s">
        <v>413</v>
      </c>
      <c r="K104" s="0" t="s">
        <v>380</v>
      </c>
      <c r="L104" s="0" t="s">
        <v>32</v>
      </c>
      <c r="M104" s="0" t="s">
        <v>61</v>
      </c>
      <c r="N104" s="0" t="s">
        <v>110</v>
      </c>
      <c r="O104" s="0" t="s">
        <v>110</v>
      </c>
      <c r="P104" s="0" t="s">
        <v>175</v>
      </c>
      <c r="Q104" s="0" t="s">
        <v>380</v>
      </c>
      <c r="R104" s="0" t="s">
        <v>400</v>
      </c>
      <c r="S104" s="0" t="s">
        <v>110</v>
      </c>
      <c r="T104" s="0">
        <f>HYPERLINK("https://storage.sslt.ae/ItemVariation/08DCD61F-969F-49C8-8085-C18F47ABFA56/609F2BCC-1C3B-499F-AAF6-2A6EDBC4D65B.webp","Variant Image")</f>
      </c>
      <c r="U104" s="0">
        <f>HYPERLINK("https://ec-qa-storage.kldlms.com/Item/08DCD61F-969F-49C8-8085-C18F47ABFA56/F94B8944-A85C-44F0-9748-76B77DBB39F4.png","Thumbnail Image")</f>
      </c>
      <c r="V104" s="0">
        <f>HYPERLINK("https://ec-qa-storage.kldlms.com/ItemGallery/08DCD61F-969F-49C8-8085-C18F47ABFA56/1DF2FEBF-AF09-49F1-8C9E-5DCC178B629E.png","Gallery Image ")</f>
      </c>
      <c r="W104" s="0" t="s">
        <v>22</v>
      </c>
    </row>
    <row r="105">
      <c r="A105" s="0" t="s">
        <v>321</v>
      </c>
      <c r="B105" s="0" t="s">
        <v>321</v>
      </c>
      <c r="C105" s="0" t="s">
        <v>406</v>
      </c>
      <c r="D105" s="0" t="s">
        <v>27</v>
      </c>
      <c r="E105" s="0" t="s">
        <v>105</v>
      </c>
      <c r="F105" s="0" t="s">
        <v>29</v>
      </c>
      <c r="G105" s="0" t="s">
        <v>393</v>
      </c>
      <c r="H105" s="0" t="s">
        <v>393</v>
      </c>
      <c r="I105" s="0" t="s">
        <v>414</v>
      </c>
      <c r="J105" s="0" t="s">
        <v>414</v>
      </c>
      <c r="K105" s="0" t="s">
        <v>395</v>
      </c>
      <c r="L105" s="0" t="s">
        <v>32</v>
      </c>
      <c r="M105" s="0" t="s">
        <v>61</v>
      </c>
      <c r="N105" s="0" t="s">
        <v>110</v>
      </c>
      <c r="O105" s="0" t="s">
        <v>110</v>
      </c>
      <c r="P105" s="0" t="s">
        <v>125</v>
      </c>
      <c r="Q105" s="0" t="s">
        <v>395</v>
      </c>
      <c r="R105" s="0" t="s">
        <v>406</v>
      </c>
      <c r="S105" s="0" t="s">
        <v>110</v>
      </c>
      <c r="T105" s="0">
        <f>HYPERLINK("https://storage.sslt.ae/ItemVariation/08DCD621-2BEE-4858-8419-94E21CC1F332/8265A771-420C-45A1-A7AB-7E08B1D60EE6.webp","Variant Image")</f>
      </c>
      <c r="U105" s="0">
        <f>HYPERLINK("https://ec-qa-storage.kldlms.com/Item/08DCD621-2BEE-4858-8419-94E21CC1F332/3A63B7E7-9438-4622-B109-F8AC81D668D2.png","Thumbnail Image")</f>
      </c>
      <c r="V105" s="0">
        <f>HYPERLINK("https://ec-qa-storage.kldlms.com/ItemGallery/08DCD621-2BEE-4858-8419-94E21CC1F332/44DC0AB8-4252-469D-90BC-E2A68EFC198E.png","Gallery Image ")</f>
      </c>
      <c r="W105" s="0" t="s">
        <v>22</v>
      </c>
    </row>
    <row r="106">
      <c r="A106" s="0" t="s">
        <v>321</v>
      </c>
      <c r="B106" s="0" t="s">
        <v>321</v>
      </c>
      <c r="C106" s="0" t="s">
        <v>403</v>
      </c>
      <c r="D106" s="0" t="s">
        <v>27</v>
      </c>
      <c r="E106" s="0" t="s">
        <v>105</v>
      </c>
      <c r="F106" s="0" t="s">
        <v>29</v>
      </c>
      <c r="G106" s="0" t="s">
        <v>393</v>
      </c>
      <c r="H106" s="0" t="s">
        <v>393</v>
      </c>
      <c r="I106" s="0" t="s">
        <v>415</v>
      </c>
      <c r="J106" s="0" t="s">
        <v>415</v>
      </c>
      <c r="K106" s="0" t="s">
        <v>395</v>
      </c>
      <c r="L106" s="0" t="s">
        <v>32</v>
      </c>
      <c r="M106" s="0" t="s">
        <v>61</v>
      </c>
      <c r="N106" s="0" t="s">
        <v>110</v>
      </c>
      <c r="O106" s="0" t="s">
        <v>110</v>
      </c>
      <c r="P106" s="0" t="s">
        <v>277</v>
      </c>
      <c r="Q106" s="0" t="s">
        <v>395</v>
      </c>
      <c r="R106" s="0" t="s">
        <v>403</v>
      </c>
      <c r="S106" s="0" t="s">
        <v>110</v>
      </c>
      <c r="T106" s="0">
        <f>HYPERLINK("https://storage.sslt.ae/ItemVariation/08DCD626-9897-4218-8795-687A2D780ECC/DBD71984-713F-4A8E-A53D-3470B3B73023.webp","Variant Image")</f>
      </c>
      <c r="U106" s="0">
        <f>HYPERLINK("https://ec-qa-storage.kldlms.com/Item/08DCD626-9897-4218-8795-687A2D780ECC/CDCBEBAA-CA9E-4727-82A6-65B59A5981A6.png","Thumbnail Image")</f>
      </c>
      <c r="V106" s="0">
        <f>HYPERLINK("https://ec-qa-storage.kldlms.com/ItemGallery/08DCD626-9897-4218-8795-687A2D780ECC/77E48AED-E254-4CA6-B0FB-97753C068625.png","Gallery Image ")</f>
      </c>
      <c r="W106" s="0" t="s">
        <v>22</v>
      </c>
    </row>
    <row r="107">
      <c r="A107" s="0" t="s">
        <v>321</v>
      </c>
      <c r="B107" s="0" t="s">
        <v>321</v>
      </c>
      <c r="C107" s="0" t="s">
        <v>416</v>
      </c>
      <c r="D107" s="0" t="s">
        <v>27</v>
      </c>
      <c r="E107" s="0" t="s">
        <v>105</v>
      </c>
      <c r="F107" s="0" t="s">
        <v>29</v>
      </c>
      <c r="G107" s="0" t="s">
        <v>417</v>
      </c>
      <c r="H107" s="0" t="s">
        <v>417</v>
      </c>
      <c r="I107" s="0" t="s">
        <v>418</v>
      </c>
      <c r="J107" s="0" t="s">
        <v>418</v>
      </c>
      <c r="K107" s="0" t="s">
        <v>380</v>
      </c>
      <c r="L107" s="0" t="s">
        <v>32</v>
      </c>
      <c r="M107" s="0" t="s">
        <v>61</v>
      </c>
      <c r="N107" s="0" t="s">
        <v>110</v>
      </c>
      <c r="O107" s="0" t="s">
        <v>110</v>
      </c>
      <c r="P107" s="0" t="s">
        <v>134</v>
      </c>
      <c r="Q107" s="0" t="s">
        <v>380</v>
      </c>
      <c r="R107" s="0" t="s">
        <v>416</v>
      </c>
      <c r="S107" s="0" t="s">
        <v>110</v>
      </c>
      <c r="T107" s="0">
        <f>HYPERLINK("https://storage.sslt.ae/ItemVariation/08DCD629-6CA1-407D-8B5C-CDC065AB174C/6680F51B-FF8C-4B7B-81EB-41F154A2D7B5.webp","Variant Image")</f>
      </c>
      <c r="U107" s="0">
        <f>HYPERLINK("https://ec-qa-storage.kldlms.com/Item/08DCD629-6CA1-407D-8B5C-CDC065AB174C/E30F0FDA-6AD0-4047-A721-777BB366A49F.png","Thumbnail Image")</f>
      </c>
      <c r="V107" s="0">
        <f>HYPERLINK("https://ec-qa-storage.kldlms.com/ItemGallery/08DCD629-6CA1-407D-8B5C-CDC065AB174C/DD526CD4-7477-4FCB-B277-60D22C4D84F1.png","Gallery Image ")</f>
      </c>
      <c r="W107" s="0" t="s">
        <v>22</v>
      </c>
    </row>
    <row r="108">
      <c r="A108" s="0" t="s">
        <v>321</v>
      </c>
      <c r="B108" s="0" t="s">
        <v>321</v>
      </c>
      <c r="C108" s="0" t="s">
        <v>419</v>
      </c>
      <c r="D108" s="0" t="s">
        <v>27</v>
      </c>
      <c r="E108" s="0" t="s">
        <v>105</v>
      </c>
      <c r="F108" s="0" t="s">
        <v>29</v>
      </c>
      <c r="G108" s="0" t="s">
        <v>417</v>
      </c>
      <c r="H108" s="0" t="s">
        <v>417</v>
      </c>
      <c r="I108" s="0" t="s">
        <v>420</v>
      </c>
      <c r="J108" s="0" t="s">
        <v>420</v>
      </c>
      <c r="K108" s="0" t="s">
        <v>421</v>
      </c>
      <c r="L108" s="0" t="s">
        <v>32</v>
      </c>
      <c r="M108" s="0" t="s">
        <v>61</v>
      </c>
      <c r="N108" s="0" t="s">
        <v>109</v>
      </c>
      <c r="O108" s="0" t="s">
        <v>110</v>
      </c>
      <c r="P108" s="0" t="s">
        <v>125</v>
      </c>
      <c r="Q108" s="0" t="s">
        <v>421</v>
      </c>
      <c r="R108" s="0" t="s">
        <v>419</v>
      </c>
      <c r="S108" s="0" t="s">
        <v>109</v>
      </c>
      <c r="T108" s="0">
        <f>HYPERLINK("https://storage.sslt.ae/ItemVariation/08DCD62B-1B35-464E-8B63-B34BBBB61DE9/8EC7A1B3-A06A-432B-B53D-6DCDD4ED923A.webp","Variant Image")</f>
      </c>
      <c r="U108" s="0">
        <f>HYPERLINK("https://ec-qa-storage.kldlms.com/Item/08DCD62B-1B35-464E-8B63-B34BBBB61DE9/C1F504AD-F5DF-494B-89C1-9A6D484CA4F5.png","Thumbnail Image")</f>
      </c>
      <c r="V108" s="0">
        <f>HYPERLINK("https://ec-qa-storage.kldlms.com/ItemGallery/08DCD62B-1B35-464E-8B63-B34BBBB61DE9/AA3CCE8F-F86F-444C-A7DB-422C4DD96926.png","Gallery Image ")</f>
      </c>
      <c r="W108" s="0" t="s">
        <v>22</v>
      </c>
      <c r="X108" s="0" t="s">
        <v>422</v>
      </c>
    </row>
    <row r="109">
      <c r="P109" s="0" t="s">
        <v>134</v>
      </c>
      <c r="Q109" s="0" t="s">
        <v>204</v>
      </c>
      <c r="R109" s="0" t="s">
        <v>416</v>
      </c>
      <c r="S109" s="0" t="s">
        <v>205</v>
      </c>
      <c r="T109" s="0">
        <f>HYPERLINK("https://storage.sslt.ae/ItemVariation/08DCD62B-1B35-464E-8B63-B34BBBB61DE9/1F3BD5E9-E31F-4A83-AFFA-C45DF31931DB.webp","Variant Image")</f>
      </c>
      <c r="X109" s="0" t="s">
        <v>423</v>
      </c>
    </row>
    <row r="110">
      <c r="A110" s="0" t="s">
        <v>321</v>
      </c>
      <c r="B110" s="0" t="s">
        <v>321</v>
      </c>
      <c r="C110" s="0" t="s">
        <v>424</v>
      </c>
      <c r="D110" s="0" t="s">
        <v>27</v>
      </c>
      <c r="E110" s="0" t="s">
        <v>105</v>
      </c>
      <c r="F110" s="0" t="s">
        <v>29</v>
      </c>
      <c r="G110" s="0" t="s">
        <v>425</v>
      </c>
      <c r="H110" s="0" t="s">
        <v>425</v>
      </c>
      <c r="I110" s="0" t="s">
        <v>426</v>
      </c>
      <c r="J110" s="0" t="s">
        <v>426</v>
      </c>
      <c r="K110" s="0" t="s">
        <v>427</v>
      </c>
      <c r="L110" s="0" t="s">
        <v>32</v>
      </c>
      <c r="M110" s="0" t="s">
        <v>61</v>
      </c>
      <c r="N110" s="0" t="s">
        <v>110</v>
      </c>
      <c r="O110" s="0" t="s">
        <v>110</v>
      </c>
      <c r="P110" s="0" t="s">
        <v>39</v>
      </c>
      <c r="Q110" s="0" t="s">
        <v>427</v>
      </c>
      <c r="R110" s="0" t="s">
        <v>424</v>
      </c>
      <c r="S110" s="0" t="s">
        <v>110</v>
      </c>
      <c r="T110" s="0">
        <f>HYPERLINK("https://storage.sslt.ae/ItemVariation/08DCD62E-8F97-4A67-82B6-3C17C41ECBB8/DF301C6E-D0A9-4C72-AB1B-F30811079CC0.png","Variant Image")</f>
      </c>
      <c r="U110" s="0">
        <f>HYPERLINK("https://ec-qa-storage.kldlms.com/Item/08DCD62E-8F97-4A67-82B6-3C17C41ECBB8/2EF36B67-317C-4969-B42D-B310213C4007.png","Thumbnail Image")</f>
      </c>
      <c r="V110" s="0">
        <f>HYPERLINK("https://ec-qa-storage.kldlms.com/ItemGallery/08DCD62E-8F97-4A67-82B6-3C17C41ECBB8/90DB9F22-9C3C-47E6-B895-BF2BF72B57AD.png","Gallery Image ")</f>
      </c>
      <c r="W110" s="0" t="s">
        <v>22</v>
      </c>
    </row>
    <row r="111">
      <c r="A111" s="0" t="s">
        <v>321</v>
      </c>
      <c r="B111" s="0" t="s">
        <v>321</v>
      </c>
      <c r="C111" s="0" t="s">
        <v>428</v>
      </c>
      <c r="D111" s="0" t="s">
        <v>27</v>
      </c>
      <c r="E111" s="0" t="s">
        <v>105</v>
      </c>
      <c r="F111" s="0" t="s">
        <v>29</v>
      </c>
      <c r="G111" s="0" t="s">
        <v>425</v>
      </c>
      <c r="H111" s="0" t="s">
        <v>425</v>
      </c>
      <c r="I111" s="0" t="s">
        <v>429</v>
      </c>
      <c r="J111" s="0" t="s">
        <v>429</v>
      </c>
      <c r="K111" s="0" t="s">
        <v>380</v>
      </c>
      <c r="L111" s="0" t="s">
        <v>32</v>
      </c>
      <c r="M111" s="0" t="s">
        <v>61</v>
      </c>
      <c r="N111" s="0" t="s">
        <v>110</v>
      </c>
      <c r="O111" s="0" t="s">
        <v>110</v>
      </c>
      <c r="P111" s="0" t="s">
        <v>125</v>
      </c>
      <c r="Q111" s="0" t="s">
        <v>32</v>
      </c>
      <c r="R111" s="0" t="s">
        <v>428</v>
      </c>
      <c r="S111" s="0" t="s">
        <v>110</v>
      </c>
      <c r="T111" s="0">
        <f>HYPERLINK("https://storage.sslt.ae/ItemVariation/08DCD630-D90B-4917-8082-3D179561E0F5/FA670731-528D-44A2-8E8C-D2D3C8820E69.webp","Variant Image")</f>
      </c>
      <c r="U111" s="0">
        <f>HYPERLINK("https://ec-qa-storage.kldlms.com/Item/08DCD630-D90B-4917-8082-3D179561E0F5/59807E82-2834-4D8F-BCC2-C32C94BA8DD9.png","Thumbnail Image")</f>
      </c>
      <c r="V111" s="0">
        <f>HYPERLINK("https://ec-qa-storage.kldlms.com/ItemGallery/08DCD630-D90B-4917-8082-3D179561E0F5/18E9D45A-267F-420F-AB70-E13D0E5067B6.png","Gallery Image ")</f>
      </c>
      <c r="W111" s="0" t="s">
        <v>22</v>
      </c>
    </row>
    <row r="112">
      <c r="A112" s="0" t="s">
        <v>321</v>
      </c>
      <c r="B112" s="0" t="s">
        <v>321</v>
      </c>
      <c r="C112" s="0" t="s">
        <v>430</v>
      </c>
      <c r="D112" s="0" t="s">
        <v>27</v>
      </c>
      <c r="E112" s="0" t="s">
        <v>105</v>
      </c>
      <c r="F112" s="0" t="s">
        <v>29</v>
      </c>
      <c r="G112" s="0" t="s">
        <v>425</v>
      </c>
      <c r="H112" s="0" t="s">
        <v>425</v>
      </c>
      <c r="I112" s="0" t="s">
        <v>431</v>
      </c>
      <c r="J112" s="0" t="s">
        <v>431</v>
      </c>
      <c r="K112" s="0" t="s">
        <v>432</v>
      </c>
      <c r="L112" s="0" t="s">
        <v>32</v>
      </c>
      <c r="M112" s="0" t="s">
        <v>61</v>
      </c>
      <c r="N112" s="0" t="s">
        <v>142</v>
      </c>
      <c r="O112" s="0" t="s">
        <v>110</v>
      </c>
      <c r="P112" s="0" t="s">
        <v>193</v>
      </c>
      <c r="Q112" s="0" t="s">
        <v>399</v>
      </c>
      <c r="R112" s="0" t="s">
        <v>433</v>
      </c>
      <c r="S112" s="0" t="s">
        <v>155</v>
      </c>
      <c r="T112" s="0">
        <f>HYPERLINK("https://storage.sslt.ae/ItemVariation/08DCD636-74F8-4F5A-8EC7-A269527A55A9/40A9D92E-3A4C-4452-93D0-3F5C7A7D3A35.webp","Variant Image")</f>
      </c>
      <c r="U112" s="0">
        <f>HYPERLINK("https://ec-qa-storage.kldlms.com/Item/08DCD636-74F8-4F5A-8EC7-A269527A55A9/FF11ED16-4E47-47DC-8EE5-FD351DA02E0F.png","Thumbnail Image")</f>
      </c>
      <c r="V112" s="0">
        <f>HYPERLINK("https://ec-qa-storage.kldlms.com/ItemGallery/08DCD636-74F8-4F5A-8EC7-A269527A55A9/BBC47D38-CE34-455F-A332-68F7A9B412EF.png","Gallery Image ")</f>
      </c>
      <c r="W112" s="0" t="s">
        <v>22</v>
      </c>
      <c r="X112" s="0" t="s">
        <v>434</v>
      </c>
    </row>
    <row r="113">
      <c r="P113" s="0" t="s">
        <v>125</v>
      </c>
      <c r="Q113" s="0" t="s">
        <v>154</v>
      </c>
      <c r="R113" s="0" t="s">
        <v>428</v>
      </c>
      <c r="S113" s="0" t="s">
        <v>205</v>
      </c>
      <c r="T113" s="0">
        <f>HYPERLINK("https://storage.sslt.ae/ItemVariation/08DCD636-74F8-4F5A-8EC7-A269527A55A9/8E77C82D-71D1-4048-BDCC-07166C715750.webp","Variant Image")</f>
      </c>
      <c r="X113" s="0" t="s">
        <v>435</v>
      </c>
    </row>
    <row r="114">
      <c r="P114" s="0" t="s">
        <v>134</v>
      </c>
      <c r="Q114" s="0" t="s">
        <v>432</v>
      </c>
      <c r="R114" s="0" t="s">
        <v>436</v>
      </c>
      <c r="S114" s="0" t="s">
        <v>142</v>
      </c>
      <c r="T114" s="0">
        <f>HYPERLINK("https://storage.sslt.ae/ItemVariation/08DCD636-74F8-4F5A-8EC7-A269527A55A9/46B3C2FA-26F5-4692-8F9E-B04CF7AEE061.webp","Variant Image")</f>
      </c>
    </row>
    <row r="115">
      <c r="P115" s="0" t="s">
        <v>36</v>
      </c>
      <c r="Q115" s="0" t="s">
        <v>437</v>
      </c>
      <c r="R115" s="0" t="s">
        <v>424</v>
      </c>
      <c r="S115" s="0" t="s">
        <v>109</v>
      </c>
      <c r="T115" s="0">
        <f>HYPERLINK("https://storage.sslt.ae/ItemVariation/08DCD636-74F8-4F5A-8EC7-A269527A55A9/4F62B6B3-4E26-47D0-82CE-479561FAB971.webp","Variant Image")</f>
      </c>
      <c r="X115" s="0" t="s">
        <v>438</v>
      </c>
    </row>
    <row r="116">
      <c r="A116" s="0" t="s">
        <v>321</v>
      </c>
      <c r="B116" s="0" t="s">
        <v>321</v>
      </c>
      <c r="C116" s="0" t="s">
        <v>439</v>
      </c>
      <c r="D116" s="0" t="s">
        <v>27</v>
      </c>
      <c r="E116" s="0" t="s">
        <v>105</v>
      </c>
      <c r="F116" s="0" t="s">
        <v>29</v>
      </c>
      <c r="G116" s="0" t="s">
        <v>425</v>
      </c>
      <c r="H116" s="0" t="s">
        <v>425</v>
      </c>
      <c r="I116" s="0" t="s">
        <v>440</v>
      </c>
      <c r="J116" s="0" t="s">
        <v>440</v>
      </c>
      <c r="K116" s="0" t="s">
        <v>441</v>
      </c>
      <c r="L116" s="0" t="s">
        <v>32</v>
      </c>
      <c r="M116" s="0" t="s">
        <v>61</v>
      </c>
      <c r="N116" s="0" t="s">
        <v>110</v>
      </c>
      <c r="O116" s="0" t="s">
        <v>110</v>
      </c>
      <c r="P116" s="0" t="s">
        <v>193</v>
      </c>
      <c r="Q116" s="0" t="s">
        <v>441</v>
      </c>
      <c r="R116" s="0" t="s">
        <v>439</v>
      </c>
      <c r="S116" s="0" t="s">
        <v>110</v>
      </c>
      <c r="T116" s="0">
        <f>HYPERLINK("https://storage.sslt.ae/ItemVariation/08DCD6E1-4180-4A80-8279-BCF87D962385/080E6278-A21B-42DF-BE12-50EF461FCB23.webp","Variant Image")</f>
      </c>
      <c r="U116" s="0">
        <f>HYPERLINK("https://ec-qa-storage.kldlms.com/Item/08DCD6E1-4180-4A80-8279-BCF87D962385/A3D66E8F-B2F0-4C50-BEDF-32C5DB1B4651.png","Thumbnail Image")</f>
      </c>
      <c r="V116" s="0">
        <f>HYPERLINK("https://ec-qa-storage.kldlms.com/ItemGallery/08DCD6E1-4180-4A80-8279-BCF87D962385/AC64FF7F-B277-4D2C-99BD-5CFB6185C447.png","Gallery Image ")</f>
      </c>
      <c r="W116" s="0" t="s">
        <v>22</v>
      </c>
    </row>
    <row r="117">
      <c r="A117" s="0" t="s">
        <v>321</v>
      </c>
      <c r="B117" s="0" t="s">
        <v>321</v>
      </c>
      <c r="C117" s="0" t="s">
        <v>433</v>
      </c>
      <c r="D117" s="0" t="s">
        <v>27</v>
      </c>
      <c r="E117" s="0" t="s">
        <v>105</v>
      </c>
      <c r="F117" s="0" t="s">
        <v>29</v>
      </c>
      <c r="G117" s="0" t="s">
        <v>425</v>
      </c>
      <c r="H117" s="0" t="s">
        <v>425</v>
      </c>
      <c r="I117" s="0" t="s">
        <v>442</v>
      </c>
      <c r="J117" s="0" t="s">
        <v>442</v>
      </c>
      <c r="K117" s="0" t="s">
        <v>380</v>
      </c>
      <c r="L117" s="0" t="s">
        <v>32</v>
      </c>
      <c r="M117" s="0" t="s">
        <v>61</v>
      </c>
      <c r="N117" s="0" t="s">
        <v>110</v>
      </c>
      <c r="O117" s="0" t="s">
        <v>110</v>
      </c>
      <c r="P117" s="0" t="s">
        <v>175</v>
      </c>
      <c r="Q117" s="0" t="s">
        <v>380</v>
      </c>
      <c r="R117" s="0" t="s">
        <v>433</v>
      </c>
      <c r="S117" s="0" t="s">
        <v>110</v>
      </c>
      <c r="T117" s="0">
        <f>HYPERLINK("https://storage.sslt.ae/ItemVariation/08DCD6E5-82E5-4E97-8CFB-3D575D946AF5/0D008A77-98EE-461D-9827-6FF9F705BD3C.webp","Variant Image")</f>
      </c>
      <c r="U117" s="0">
        <f>HYPERLINK("https://ec-qa-storage.kldlms.com/Item/08DCD6E5-82E5-4E97-8CFB-3D575D946AF5/C238A68A-FEAB-4456-8B13-CC092BF5C4E3.png","Thumbnail Image")</f>
      </c>
      <c r="V117" s="0">
        <f>HYPERLINK("https://ec-qa-storage.kldlms.com/ItemGallery/08DCD6E5-82E5-4E97-8CFB-3D575D946AF5/A2C0E051-643E-4E9E-B67C-F43FF44084E2.png","Gallery Image ")</f>
      </c>
      <c r="W117" s="0" t="s">
        <v>22</v>
      </c>
    </row>
    <row r="118">
      <c r="A118" s="0" t="s">
        <v>321</v>
      </c>
      <c r="B118" s="0" t="s">
        <v>321</v>
      </c>
      <c r="C118" s="0" t="s">
        <v>443</v>
      </c>
      <c r="D118" s="0" t="s">
        <v>27</v>
      </c>
      <c r="E118" s="0" t="s">
        <v>105</v>
      </c>
      <c r="F118" s="0" t="s">
        <v>29</v>
      </c>
      <c r="G118" s="0" t="s">
        <v>444</v>
      </c>
      <c r="H118" s="0" t="s">
        <v>444</v>
      </c>
      <c r="I118" s="0" t="s">
        <v>445</v>
      </c>
      <c r="J118" s="0" t="s">
        <v>445</v>
      </c>
      <c r="K118" s="0" t="s">
        <v>427</v>
      </c>
      <c r="L118" s="0" t="s">
        <v>32</v>
      </c>
      <c r="M118" s="0" t="s">
        <v>61</v>
      </c>
      <c r="N118" s="0" t="s">
        <v>110</v>
      </c>
      <c r="O118" s="0" t="s">
        <v>110</v>
      </c>
      <c r="P118" s="0" t="s">
        <v>134</v>
      </c>
      <c r="Q118" s="0" t="s">
        <v>35</v>
      </c>
      <c r="R118" s="0" t="s">
        <v>443</v>
      </c>
      <c r="S118" s="0" t="s">
        <v>110</v>
      </c>
      <c r="T118" s="0">
        <f>HYPERLINK("https://storage.sslt.ae/ItemVariation/08DCD6EE-AB1E-4542-8050-9085E1FDDC34/F8DCC1C5-C9BB-4616-AFA4-6B0EC384BCED.webp","Variant Image")</f>
      </c>
      <c r="U118" s="0">
        <f>HYPERLINK("https://ec-qa-storage.kldlms.com/Item/08DCD6EE-AB1E-4542-8050-9085E1FDDC34/8406E1C6-8914-471F-A54D-D37CA3966241.png","Thumbnail Image")</f>
      </c>
      <c r="V118" s="0">
        <f>HYPERLINK("https://ec-qa-storage.kldlms.com/ItemGallery/08DCD6EE-AB1E-4542-8050-9085E1FDDC34/748D205E-07D5-45C8-83FF-6152059013BB.png","Gallery Image ")</f>
      </c>
      <c r="W118" s="0" t="s">
        <v>22</v>
      </c>
    </row>
    <row r="119">
      <c r="A119" s="0" t="s">
        <v>321</v>
      </c>
      <c r="B119" s="0" t="s">
        <v>321</v>
      </c>
      <c r="C119" s="0" t="s">
        <v>446</v>
      </c>
      <c r="D119" s="0" t="s">
        <v>27</v>
      </c>
      <c r="E119" s="0" t="s">
        <v>105</v>
      </c>
      <c r="F119" s="0" t="s">
        <v>29</v>
      </c>
      <c r="G119" s="0" t="s">
        <v>444</v>
      </c>
      <c r="H119" s="0" t="s">
        <v>444</v>
      </c>
      <c r="I119" s="0" t="s">
        <v>447</v>
      </c>
      <c r="J119" s="0" t="s">
        <v>447</v>
      </c>
      <c r="K119" s="0" t="s">
        <v>448</v>
      </c>
      <c r="L119" s="0" t="s">
        <v>32</v>
      </c>
      <c r="M119" s="0" t="s">
        <v>61</v>
      </c>
      <c r="N119" s="0" t="s">
        <v>110</v>
      </c>
      <c r="O119" s="0" t="s">
        <v>110</v>
      </c>
      <c r="P119" s="0" t="s">
        <v>175</v>
      </c>
      <c r="Q119" s="0" t="s">
        <v>448</v>
      </c>
      <c r="R119" s="0" t="s">
        <v>446</v>
      </c>
      <c r="S119" s="0" t="s">
        <v>110</v>
      </c>
      <c r="T119" s="0">
        <f>HYPERLINK("https://storage.sslt.ae/ItemVariation/08DCD6EF-9A4C-457C-83A2-328E2789A858/0FC7E55C-C772-4C75-95C4-B511B43F82C8.webp","Variant Image")</f>
      </c>
      <c r="U119" s="0">
        <f>HYPERLINK("https://ec-qa-storage.kldlms.com/Item/08DCD6EF-9A4C-457C-83A2-328E2789A858/8DD63AA1-E62C-41B0-B987-0D411A44FE0E.png","Thumbnail Image")</f>
      </c>
      <c r="V119" s="0">
        <f>HYPERLINK("https://ec-qa-storage.kldlms.com/ItemGallery/08DCD6EF-9A4C-457C-83A2-328E2789A858/837A8903-26CA-42FB-BA39-6E9BF1134606.png","Gallery Image ")</f>
      </c>
      <c r="W119" s="0" t="s">
        <v>22</v>
      </c>
    </row>
    <row r="120">
      <c r="A120" s="0" t="s">
        <v>321</v>
      </c>
      <c r="B120" s="0" t="s">
        <v>321</v>
      </c>
      <c r="C120" s="0" t="s">
        <v>449</v>
      </c>
      <c r="D120" s="0" t="s">
        <v>27</v>
      </c>
      <c r="E120" s="0" t="s">
        <v>105</v>
      </c>
      <c r="F120" s="0" t="s">
        <v>29</v>
      </c>
      <c r="G120" s="0" t="s">
        <v>444</v>
      </c>
      <c r="H120" s="0" t="s">
        <v>444</v>
      </c>
      <c r="I120" s="0" t="s">
        <v>420</v>
      </c>
      <c r="J120" s="0" t="s">
        <v>420</v>
      </c>
      <c r="K120" s="0" t="s">
        <v>450</v>
      </c>
      <c r="L120" s="0" t="s">
        <v>32</v>
      </c>
      <c r="M120" s="0" t="s">
        <v>61</v>
      </c>
      <c r="N120" s="0" t="s">
        <v>110</v>
      </c>
      <c r="O120" s="0" t="s">
        <v>110</v>
      </c>
      <c r="P120" s="0" t="s">
        <v>125</v>
      </c>
      <c r="Q120" s="0" t="s">
        <v>450</v>
      </c>
      <c r="R120" s="0" t="s">
        <v>449</v>
      </c>
      <c r="S120" s="0" t="s">
        <v>110</v>
      </c>
      <c r="T120" s="0">
        <f>HYPERLINK("https://storage.sslt.ae/ItemVariation/08DCD6F0-8A80-4704-8C13-DA0D470ED954/B11AB0A0-DD4E-45C1-A754-84BF8317D7AC.webp","Variant Image")</f>
      </c>
      <c r="U120" s="0">
        <f>HYPERLINK("https://ec-qa-storage.kldlms.com/Item/08DCD6F0-8A80-4704-8C13-DA0D470ED954/E0D902DC-02F1-47EC-9E29-7F834C9B8AE5.png","Thumbnail Image")</f>
      </c>
      <c r="V120" s="0">
        <f>HYPERLINK("https://ec-qa-storage.kldlms.com/ItemGallery/08DCD6F0-8A80-4704-8C13-DA0D470ED954/08336567-1AA0-402B-BF47-497C50A7FEB9.png","Gallery Image ")</f>
      </c>
      <c r="W120" s="0" t="s">
        <v>22</v>
      </c>
      <c r="X120" s="0" t="s">
        <v>451</v>
      </c>
    </row>
    <row r="121">
      <c r="P121" s="0" t="s">
        <v>134</v>
      </c>
      <c r="Q121" s="0" t="s">
        <v>452</v>
      </c>
      <c r="R121" s="0" t="s">
        <v>443</v>
      </c>
      <c r="S121" s="0" t="s">
        <v>155</v>
      </c>
      <c r="T121" s="0">
        <f>HYPERLINK("https://storage.sslt.ae/ItemVariation/08DCD6F0-8A80-4704-8C13-DA0D470ED954/E6070E90-1669-4B28-AA20-D1567C000E5C.webp","Variant Image")</f>
      </c>
      <c r="X121" s="0" t="s">
        <v>453</v>
      </c>
    </row>
    <row r="122">
      <c r="A122" s="0" t="s">
        <v>321</v>
      </c>
      <c r="B122" s="0" t="s">
        <v>321</v>
      </c>
      <c r="C122" s="0" t="s">
        <v>454</v>
      </c>
      <c r="D122" s="0" t="s">
        <v>27</v>
      </c>
      <c r="E122" s="0" t="s">
        <v>105</v>
      </c>
      <c r="F122" s="0" t="s">
        <v>29</v>
      </c>
      <c r="G122" s="0" t="s">
        <v>455</v>
      </c>
      <c r="H122" s="0" t="s">
        <v>455</v>
      </c>
      <c r="I122" s="0" t="s">
        <v>456</v>
      </c>
      <c r="J122" s="0" t="s">
        <v>456</v>
      </c>
      <c r="K122" s="0" t="s">
        <v>457</v>
      </c>
      <c r="L122" s="0" t="s">
        <v>32</v>
      </c>
      <c r="M122" s="0" t="s">
        <v>61</v>
      </c>
      <c r="N122" s="0" t="s">
        <v>110</v>
      </c>
      <c r="O122" s="0" t="s">
        <v>110</v>
      </c>
      <c r="P122" s="0" t="s">
        <v>175</v>
      </c>
      <c r="Q122" s="0" t="s">
        <v>448</v>
      </c>
      <c r="R122" s="0" t="s">
        <v>446</v>
      </c>
      <c r="S122" s="0" t="s">
        <v>110</v>
      </c>
      <c r="T122" s="0">
        <f>HYPERLINK("https://storage.sslt.ae/ItemVariation/08DCD6F4-711E-4388-85AF-7C5779C3F197/26177E2B-3E88-425D-B1C4-53DBF4CD0F1D.webp","Variant Image")</f>
      </c>
      <c r="U122" s="0">
        <f>HYPERLINK("https://ec-qa-storage.kldlms.com/Item/08DCD6F4-711E-4388-85AF-7C5779C3F197/458CC684-0C07-41D8-9CB6-F61465176F33.png","Thumbnail Image")</f>
      </c>
      <c r="V122" s="0">
        <f>HYPERLINK("https://ec-qa-storage.kldlms.com/ItemGallery/08DCD6F4-711E-4388-85AF-7C5779C3F197/4CD11C28-A0BA-45EB-9A3A-CBC28168CF5F.png","Gallery Image ")</f>
      </c>
      <c r="W122" s="0" t="s">
        <v>22</v>
      </c>
      <c r="X122" s="0" t="s">
        <v>458</v>
      </c>
    </row>
    <row r="123">
      <c r="A123" s="0" t="s">
        <v>321</v>
      </c>
      <c r="B123" s="0" t="s">
        <v>321</v>
      </c>
      <c r="C123" s="0" t="s">
        <v>459</v>
      </c>
      <c r="D123" s="0" t="s">
        <v>27</v>
      </c>
      <c r="E123" s="0" t="s">
        <v>105</v>
      </c>
      <c r="F123" s="0" t="s">
        <v>29</v>
      </c>
      <c r="G123" s="0" t="s">
        <v>460</v>
      </c>
      <c r="H123" s="0" t="s">
        <v>460</v>
      </c>
      <c r="I123" s="0" t="s">
        <v>461</v>
      </c>
      <c r="J123" s="0" t="s">
        <v>461</v>
      </c>
      <c r="K123" s="0" t="s">
        <v>462</v>
      </c>
      <c r="L123" s="0" t="s">
        <v>32</v>
      </c>
      <c r="M123" s="0" t="s">
        <v>61</v>
      </c>
      <c r="N123" s="0" t="s">
        <v>110</v>
      </c>
      <c r="O123" s="0" t="s">
        <v>110</v>
      </c>
      <c r="P123" s="0" t="s">
        <v>125</v>
      </c>
      <c r="Q123" s="0" t="s">
        <v>462</v>
      </c>
      <c r="R123" s="0" t="s">
        <v>459</v>
      </c>
      <c r="S123" s="0" t="s">
        <v>110</v>
      </c>
      <c r="T123" s="0">
        <f>HYPERLINK("https://storage.sslt.ae/ItemVariation/08DCD6F7-448E-42A5-892B-24FF8756770D/71874F40-C9B3-4D2B-8235-C5622993566C.webp","Variant Image")</f>
      </c>
      <c r="U123" s="0">
        <f>HYPERLINK("https://ec-qa-storage.kldlms.com/Item/08DCD6F7-448E-42A5-892B-24FF8756770D/91E18D52-3E1C-4290-968F-BCCDA9B7B4A9.png","Thumbnail Image")</f>
      </c>
      <c r="V123" s="0">
        <f>HYPERLINK("https://ec-qa-storage.kldlms.com/ItemGallery/08DCD6F7-448E-42A5-892B-24FF8756770D/3D134383-FFEF-4F98-991F-B3A0DE13485A.png","Gallery Image ")</f>
      </c>
      <c r="W123" s="0" t="s">
        <v>22</v>
      </c>
    </row>
    <row r="124">
      <c r="A124" s="0" t="s">
        <v>321</v>
      </c>
      <c r="B124" s="0" t="s">
        <v>321</v>
      </c>
      <c r="C124" s="0" t="s">
        <v>463</v>
      </c>
      <c r="D124" s="0" t="s">
        <v>27</v>
      </c>
      <c r="E124" s="0" t="s">
        <v>105</v>
      </c>
      <c r="F124" s="0" t="s">
        <v>29</v>
      </c>
      <c r="G124" s="0" t="s">
        <v>464</v>
      </c>
      <c r="H124" s="0" t="s">
        <v>464</v>
      </c>
      <c r="I124" s="0" t="s">
        <v>465</v>
      </c>
      <c r="J124" s="0" t="s">
        <v>465</v>
      </c>
      <c r="K124" s="0" t="s">
        <v>462</v>
      </c>
      <c r="L124" s="0" t="s">
        <v>32</v>
      </c>
      <c r="M124" s="0" t="s">
        <v>61</v>
      </c>
      <c r="N124" s="0" t="s">
        <v>110</v>
      </c>
      <c r="O124" s="0" t="s">
        <v>110</v>
      </c>
      <c r="P124" s="0" t="s">
        <v>175</v>
      </c>
      <c r="Q124" s="0" t="s">
        <v>462</v>
      </c>
      <c r="R124" s="0" t="s">
        <v>463</v>
      </c>
      <c r="S124" s="0" t="s">
        <v>110</v>
      </c>
      <c r="T124" s="0">
        <f>HYPERLINK("https://storage.sslt.ae/ItemVariation/08DCD6FC-9A54-444D-814D-931B319D93F0/585C499B-FD95-4D25-AC29-D9309C61D5B1.webp","Variant Image")</f>
      </c>
      <c r="U124" s="0">
        <f>HYPERLINK("https://ec-qa-storage.kldlms.com/Item/08DCD6FC-9A54-444D-814D-931B319D93F0/445C1F17-7DE4-40E5-820E-3AA50F62CF61.png","Thumbnail Image")</f>
      </c>
      <c r="V124" s="0">
        <f>HYPERLINK("https://ec-qa-storage.kldlms.com/ItemGallery/08DCD6FC-9A54-444D-814D-931B319D93F0/8DE1472F-D1C1-4F74-AC42-A41ADE4BA5E1.png","Gallery Image ")</f>
      </c>
      <c r="W124" s="0" t="s">
        <v>22</v>
      </c>
    </row>
    <row r="125">
      <c r="A125" s="0" t="s">
        <v>321</v>
      </c>
      <c r="B125" s="0" t="s">
        <v>321</v>
      </c>
      <c r="C125" s="0" t="s">
        <v>466</v>
      </c>
      <c r="D125" s="0" t="s">
        <v>27</v>
      </c>
      <c r="E125" s="0" t="s">
        <v>105</v>
      </c>
      <c r="F125" s="0" t="s">
        <v>29</v>
      </c>
      <c r="G125" s="0" t="s">
        <v>464</v>
      </c>
      <c r="H125" s="0" t="s">
        <v>464</v>
      </c>
      <c r="I125" s="0" t="s">
        <v>467</v>
      </c>
      <c r="J125" s="0" t="s">
        <v>467</v>
      </c>
      <c r="K125" s="0" t="s">
        <v>468</v>
      </c>
      <c r="L125" s="0" t="s">
        <v>32</v>
      </c>
      <c r="M125" s="0" t="s">
        <v>61</v>
      </c>
      <c r="N125" s="0" t="s">
        <v>110</v>
      </c>
      <c r="O125" s="0" t="s">
        <v>110</v>
      </c>
      <c r="P125" s="0" t="s">
        <v>36</v>
      </c>
      <c r="Q125" s="0" t="s">
        <v>468</v>
      </c>
      <c r="R125" s="0" t="s">
        <v>466</v>
      </c>
      <c r="S125" s="0" t="s">
        <v>110</v>
      </c>
      <c r="T125" s="0">
        <f>HYPERLINK("https://storage.sslt.ae/ItemVariation/08DCD6FE-3D71-4A93-8791-50F450EAA0D3/0F550EAC-200F-4714-BAE4-A2B238CFEAAF.webp","Variant Image")</f>
      </c>
      <c r="U125" s="0">
        <f>HYPERLINK("https://ec-qa-storage.kldlms.com/Item/08DCD6FE-3D71-4A93-8791-50F450EAA0D3/A743D3BE-00A8-4CC3-9C73-3CB69049DB31.png","Thumbnail Image")</f>
      </c>
      <c r="V125" s="0">
        <f>HYPERLINK("https://ec-qa-storage.kldlms.com/ItemGallery/08DCD6FE-3D71-4A93-8791-50F450EAA0D3/9F44F688-668B-4FFF-9EF6-7CC7846A448E.png","Gallery Image ")</f>
      </c>
      <c r="W125" s="0" t="s">
        <v>22</v>
      </c>
    </row>
    <row r="126">
      <c r="A126" s="0" t="s">
        <v>321</v>
      </c>
      <c r="B126" s="0" t="s">
        <v>321</v>
      </c>
      <c r="C126" s="0" t="s">
        <v>469</v>
      </c>
      <c r="D126" s="0" t="s">
        <v>27</v>
      </c>
      <c r="E126" s="0" t="s">
        <v>105</v>
      </c>
      <c r="F126" s="0" t="s">
        <v>29</v>
      </c>
      <c r="G126" s="0" t="s">
        <v>464</v>
      </c>
      <c r="H126" s="0" t="s">
        <v>464</v>
      </c>
      <c r="I126" s="0" t="s">
        <v>470</v>
      </c>
      <c r="J126" s="0" t="s">
        <v>470</v>
      </c>
      <c r="K126" s="0" t="s">
        <v>369</v>
      </c>
      <c r="L126" s="0" t="s">
        <v>32</v>
      </c>
      <c r="M126" s="0" t="s">
        <v>61</v>
      </c>
      <c r="N126" s="0" t="s">
        <v>110</v>
      </c>
      <c r="O126" s="0" t="s">
        <v>110</v>
      </c>
      <c r="P126" s="0" t="s">
        <v>203</v>
      </c>
      <c r="Q126" s="0" t="s">
        <v>471</v>
      </c>
      <c r="R126" s="0" t="s">
        <v>463</v>
      </c>
      <c r="S126" s="0" t="s">
        <v>349</v>
      </c>
      <c r="T126" s="0">
        <f>HYPERLINK("https://storage.sslt.ae/ItemVariation/08DCD6FF-CC73-4830-8B43-7BD88CAD978D/2484BEE3-84A6-4BCB-81B9-08CB9271439F.webp","Variant Image")</f>
      </c>
      <c r="U126" s="0">
        <f>HYPERLINK("https://ec-qa-storage.kldlms.com/Item/08DCD6FF-CC73-4830-8B43-7BD88CAD978D/8A99A165-3FF4-4374-9BDE-EC5B83B38D3A.png","Thumbnail Image")</f>
      </c>
      <c r="V126" s="0">
        <f>HYPERLINK("https://ec-qa-storage.kldlms.com/ItemGallery/08DCD6FF-CC73-4830-8B43-7BD88CAD978D/EEFC5F46-3C39-431A-AC01-99FADE2C6396.png","Gallery Image ")</f>
      </c>
      <c r="W126" s="0" t="s">
        <v>22</v>
      </c>
      <c r="X126" s="0" t="s">
        <v>472</v>
      </c>
    </row>
    <row r="127">
      <c r="P127" s="0" t="s">
        <v>125</v>
      </c>
      <c r="Q127" s="0" t="s">
        <v>473</v>
      </c>
      <c r="R127" s="0" t="s">
        <v>459</v>
      </c>
      <c r="S127" s="0" t="s">
        <v>276</v>
      </c>
      <c r="T127" s="0">
        <f>HYPERLINK("https://storage.sslt.ae/ItemVariation/08DCD6FF-CC73-4830-8B43-7BD88CAD978D/25188D11-A959-4609-A177-9A1E3B7CA318.webp","Variant Image")</f>
      </c>
      <c r="X127" s="0" t="s">
        <v>474</v>
      </c>
    </row>
    <row r="128">
      <c r="P128" s="0" t="s">
        <v>134</v>
      </c>
      <c r="Q128" s="0" t="s">
        <v>369</v>
      </c>
      <c r="R128" s="0" t="s">
        <v>469</v>
      </c>
      <c r="S128" s="0" t="s">
        <v>110</v>
      </c>
      <c r="T128" s="0">
        <f>HYPERLINK("https://storage.sslt.ae/ItemVariation/08DCD6FF-CC73-4830-8B43-7BD88CAD978D/682F59D7-61C7-4712-A7CA-05B357411ADB.webp","Variant Image")</f>
      </c>
      <c r="X128" s="0" t="s">
        <v>475</v>
      </c>
    </row>
    <row r="129">
      <c r="A129" s="0" t="s">
        <v>476</v>
      </c>
      <c r="B129" s="0" t="s">
        <v>476</v>
      </c>
      <c r="C129" s="0" t="s">
        <v>477</v>
      </c>
      <c r="D129" s="0" t="s">
        <v>478</v>
      </c>
      <c r="E129" s="0" t="s">
        <v>105</v>
      </c>
      <c r="F129" s="0" t="s">
        <v>29</v>
      </c>
      <c r="G129" s="0" t="s">
        <v>479</v>
      </c>
      <c r="H129" s="0" t="s">
        <v>479</v>
      </c>
      <c r="I129" s="0" t="s">
        <v>480</v>
      </c>
      <c r="J129" s="0" t="s">
        <v>480</v>
      </c>
      <c r="K129" s="0" t="s">
        <v>481</v>
      </c>
      <c r="L129" s="0" t="s">
        <v>32</v>
      </c>
      <c r="M129" s="0" t="s">
        <v>61</v>
      </c>
      <c r="N129" s="0" t="s">
        <v>337</v>
      </c>
      <c r="O129" s="0" t="s">
        <v>110</v>
      </c>
      <c r="P129" s="0" t="s">
        <v>134</v>
      </c>
      <c r="Q129" s="0" t="s">
        <v>481</v>
      </c>
      <c r="R129" s="0" t="s">
        <v>477</v>
      </c>
      <c r="S129" s="0" t="s">
        <v>337</v>
      </c>
      <c r="T129" s="0">
        <f>HYPERLINK("https://storage.sslt.ae/ItemVariation/08DCD7AF-2605-4A02-8C65-86781E083110/94F614CD-162E-4AB7-88E5-1CBB17CBF221.png","Variant Image")</f>
      </c>
      <c r="U129" s="0">
        <f>HYPERLINK("https://ec-qa-storage.kldlms.com/Item/08DCD7AF-2605-4A02-8C65-86781E083110/092250E0-4A06-4B0A-B765-B4D8FBBF7014.png","Thumbnail Image")</f>
      </c>
      <c r="V129" s="0">
        <f>HYPERLINK("https://ec-qa-storage.kldlms.com/ItemGallery/08DCD7AF-2605-4A02-8C65-86781E083110/CBCD9C98-6D95-4339-AB46-FB732A6DDB4C.png","Gallery Image ")</f>
      </c>
      <c r="W129" s="0" t="s">
        <v>22</v>
      </c>
    </row>
    <row r="130">
      <c r="A130" s="0" t="s">
        <v>476</v>
      </c>
      <c r="B130" s="0" t="s">
        <v>476</v>
      </c>
      <c r="C130" s="0" t="s">
        <v>482</v>
      </c>
      <c r="D130" s="0" t="s">
        <v>478</v>
      </c>
      <c r="E130" s="0" t="s">
        <v>105</v>
      </c>
      <c r="F130" s="0" t="s">
        <v>29</v>
      </c>
      <c r="G130" s="0" t="s">
        <v>479</v>
      </c>
      <c r="H130" s="0" t="s">
        <v>479</v>
      </c>
      <c r="I130" s="0" t="s">
        <v>483</v>
      </c>
      <c r="J130" s="0" t="s">
        <v>483</v>
      </c>
      <c r="K130" s="0" t="s">
        <v>484</v>
      </c>
      <c r="L130" s="0" t="s">
        <v>32</v>
      </c>
      <c r="M130" s="0" t="s">
        <v>61</v>
      </c>
      <c r="N130" s="0" t="s">
        <v>337</v>
      </c>
      <c r="O130" s="0" t="s">
        <v>110</v>
      </c>
      <c r="P130" s="0" t="s">
        <v>247</v>
      </c>
      <c r="Q130" s="0" t="s">
        <v>484</v>
      </c>
      <c r="R130" s="0" t="s">
        <v>482</v>
      </c>
      <c r="S130" s="0" t="s">
        <v>337</v>
      </c>
      <c r="T130" s="0">
        <f>HYPERLINK("https://storage.sslt.ae/ItemVariation/08DCD7B2-EF60-46DC-8738-BA8D5EAC1F42/C08619BD-83B9-4CCA-A22A-C3CA3BD2467E.png","Variant Image")</f>
      </c>
      <c r="U130" s="0">
        <f>HYPERLINK("https://ec-qa-storage.kldlms.com/Item/08DCD7B2-EF60-46DC-8738-BA8D5EAC1F42/C4F947E5-998E-480D-A5E8-A4FE35AE1534.png","Thumbnail Image")</f>
      </c>
      <c r="V130" s="0">
        <f>HYPERLINK("https://ec-qa-storage.kldlms.com/ItemGallery/08DCD7B2-EF60-46DC-8738-BA8D5EAC1F42/B7E063E4-5EE4-47ED-B029-FA35EC097A2E.png","Gallery Image ")</f>
      </c>
      <c r="W130" s="0" t="s">
        <v>22</v>
      </c>
      <c r="X130" s="0" t="s">
        <v>485</v>
      </c>
    </row>
    <row r="131">
      <c r="P131" s="0" t="s">
        <v>134</v>
      </c>
      <c r="Q131" s="0" t="s">
        <v>484</v>
      </c>
      <c r="R131" s="0" t="s">
        <v>477</v>
      </c>
      <c r="S131" s="0" t="s">
        <v>164</v>
      </c>
      <c r="T131" s="0">
        <f>HYPERLINK("https://storage.sslt.ae/ItemVariation/08DCD7B2-EF60-46DC-8738-BA8D5EAC1F42/04F63C76-525B-440B-B396-80B41ED2D588.png","Variant Image")</f>
      </c>
      <c r="X131" s="0" t="s">
        <v>486</v>
      </c>
    </row>
    <row r="132">
      <c r="A132" s="0" t="s">
        <v>487</v>
      </c>
      <c r="B132" s="0" t="s">
        <v>487</v>
      </c>
      <c r="C132" s="0" t="s">
        <v>488</v>
      </c>
      <c r="D132" s="0" t="s">
        <v>478</v>
      </c>
      <c r="E132" s="0" t="s">
        <v>105</v>
      </c>
      <c r="F132" s="0" t="s">
        <v>29</v>
      </c>
      <c r="G132" s="0" t="s">
        <v>489</v>
      </c>
      <c r="H132" s="0" t="s">
        <v>489</v>
      </c>
      <c r="I132" s="0" t="s">
        <v>490</v>
      </c>
      <c r="J132" s="0" t="s">
        <v>490</v>
      </c>
      <c r="K132" s="0" t="s">
        <v>491</v>
      </c>
      <c r="L132" s="0" t="s">
        <v>32</v>
      </c>
      <c r="M132" s="0" t="s">
        <v>61</v>
      </c>
      <c r="N132" s="0" t="s">
        <v>337</v>
      </c>
      <c r="O132" s="0" t="s">
        <v>110</v>
      </c>
      <c r="P132" s="0" t="s">
        <v>125</v>
      </c>
      <c r="Q132" s="0" t="s">
        <v>491</v>
      </c>
      <c r="R132" s="0" t="s">
        <v>488</v>
      </c>
      <c r="S132" s="0" t="s">
        <v>337</v>
      </c>
      <c r="T132" s="0">
        <f>HYPERLINK("https://storage.sslt.ae/ItemVariation/08DCD7B7-642D-47A3-8BC5-DDA15BF3731B/8A010114-BB2E-4999-B59C-039F4BF2B23B.png","Variant Image")</f>
      </c>
      <c r="U132" s="0">
        <f>HYPERLINK("https://ec-qa-storage.kldlms.com/Item/08DCD7B7-642D-47A3-8BC5-DDA15BF3731B/95B527C5-7FE1-42C6-9446-B38424DB854D.png","Thumbnail Image")</f>
      </c>
      <c r="V132" s="0">
        <f>HYPERLINK("https://ec-qa-storage.kldlms.com/ItemGallery/08DCD7B7-642D-47A3-8BC5-DDA15BF3731B/6BEAE73B-9041-4F77-B979-0288133FBA53.png","Gallery Image ")</f>
      </c>
      <c r="W132" s="0" t="s">
        <v>22</v>
      </c>
    </row>
    <row r="133">
      <c r="A133" s="0" t="s">
        <v>487</v>
      </c>
      <c r="B133" s="0" t="s">
        <v>487</v>
      </c>
      <c r="C133" s="0" t="s">
        <v>492</v>
      </c>
      <c r="D133" s="0" t="s">
        <v>478</v>
      </c>
      <c r="E133" s="0" t="s">
        <v>105</v>
      </c>
      <c r="F133" s="0" t="s">
        <v>29</v>
      </c>
      <c r="G133" s="0" t="s">
        <v>489</v>
      </c>
      <c r="H133" s="0" t="s">
        <v>489</v>
      </c>
      <c r="I133" s="0" t="s">
        <v>493</v>
      </c>
      <c r="J133" s="0" t="s">
        <v>493</v>
      </c>
      <c r="K133" s="0" t="s">
        <v>494</v>
      </c>
      <c r="L133" s="0" t="s">
        <v>32</v>
      </c>
      <c r="M133" s="0" t="s">
        <v>61</v>
      </c>
      <c r="N133" s="0" t="s">
        <v>337</v>
      </c>
      <c r="O133" s="0" t="s">
        <v>110</v>
      </c>
      <c r="P133" s="0" t="s">
        <v>134</v>
      </c>
      <c r="Q133" s="0" t="s">
        <v>494</v>
      </c>
      <c r="R133" s="0" t="s">
        <v>492</v>
      </c>
      <c r="S133" s="0" t="s">
        <v>337</v>
      </c>
      <c r="T133" s="0">
        <f>HYPERLINK("https://storage.sslt.ae/ItemVariation/08DCD7B9-160F-43A6-8BB5-859D1E179519/CFE6ADF3-937F-4A43-8C92-58198FC252E9.png","Variant Image")</f>
      </c>
      <c r="U133" s="0">
        <f>HYPERLINK("https://ec-qa-storage.kldlms.com/Item/08DCD7B9-160F-43A6-8BB5-859D1E179519/599768DE-6FE4-45A8-AEF7-F4708C965720.png","Thumbnail Image")</f>
      </c>
      <c r="V133" s="0">
        <f>HYPERLINK("https://ec-qa-storage.kldlms.com/ItemGallery/08DCD7B9-160F-43A6-8BB5-859D1E179519/8D944FC0-0691-40B0-A67D-6CFD8713B6B8.png","Gallery Image ")</f>
      </c>
      <c r="W133" s="0" t="s">
        <v>22</v>
      </c>
    </row>
    <row r="134">
      <c r="A134" s="0" t="s">
        <v>487</v>
      </c>
      <c r="B134" s="0" t="s">
        <v>487</v>
      </c>
      <c r="C134" s="0" t="s">
        <v>495</v>
      </c>
      <c r="D134" s="0" t="s">
        <v>478</v>
      </c>
      <c r="E134" s="0" t="s">
        <v>105</v>
      </c>
      <c r="F134" s="0" t="s">
        <v>29</v>
      </c>
      <c r="G134" s="0" t="s">
        <v>489</v>
      </c>
      <c r="H134" s="0" t="s">
        <v>489</v>
      </c>
      <c r="I134" s="0" t="s">
        <v>496</v>
      </c>
      <c r="J134" s="0" t="s">
        <v>496</v>
      </c>
      <c r="K134" s="0" t="s">
        <v>124</v>
      </c>
      <c r="L134" s="0" t="s">
        <v>32</v>
      </c>
      <c r="M134" s="0" t="s">
        <v>61</v>
      </c>
      <c r="N134" s="0" t="s">
        <v>337</v>
      </c>
      <c r="O134" s="0" t="s">
        <v>110</v>
      </c>
      <c r="P134" s="0" t="s">
        <v>125</v>
      </c>
      <c r="Q134" s="0" t="s">
        <v>124</v>
      </c>
      <c r="R134" s="0" t="s">
        <v>495</v>
      </c>
      <c r="S134" s="0" t="s">
        <v>337</v>
      </c>
      <c r="T134" s="0">
        <f>HYPERLINK("https://storage.sslt.ae/ItemVariation/08DCD7BB-11AE-441D-84CB-B81C65A990B1/12A8A83B-32BE-4094-9783-C1A162037F8B.png","Variant Image")</f>
      </c>
      <c r="U134" s="0">
        <f>HYPERLINK("https://ec-qa-storage.kldlms.com/Item/08DCD7BB-11AE-441D-84CB-B81C65A990B1/E6931554-C70C-42A1-BCF5-848B9E0D0776.png","Thumbnail Image")</f>
      </c>
      <c r="V134" s="0">
        <f>HYPERLINK("https://ec-qa-storage.kldlms.com/ItemGallery/08DCD7BB-11AE-441D-84CB-B81C65A990B1/663F0D32-D6FB-41C7-A2FB-AD1BFF730D8F.png","Gallery Image ")</f>
      </c>
      <c r="W134" s="0" t="s">
        <v>22</v>
      </c>
    </row>
    <row r="135">
      <c r="A135" s="0" t="s">
        <v>487</v>
      </c>
      <c r="B135" s="0" t="s">
        <v>487</v>
      </c>
      <c r="C135" s="0" t="s">
        <v>497</v>
      </c>
      <c r="D135" s="0" t="s">
        <v>478</v>
      </c>
      <c r="E135" s="0" t="s">
        <v>105</v>
      </c>
      <c r="F135" s="0" t="s">
        <v>29</v>
      </c>
      <c r="G135" s="0" t="s">
        <v>489</v>
      </c>
      <c r="H135" s="0" t="s">
        <v>489</v>
      </c>
      <c r="I135" s="0" t="s">
        <v>498</v>
      </c>
      <c r="J135" s="0" t="s">
        <v>498</v>
      </c>
      <c r="K135" s="0" t="s">
        <v>491</v>
      </c>
      <c r="L135" s="0" t="s">
        <v>32</v>
      </c>
      <c r="M135" s="0" t="s">
        <v>61</v>
      </c>
      <c r="N135" s="0" t="s">
        <v>337</v>
      </c>
      <c r="O135" s="0" t="s">
        <v>110</v>
      </c>
      <c r="P135" s="0" t="s">
        <v>247</v>
      </c>
      <c r="Q135" s="0" t="s">
        <v>32</v>
      </c>
      <c r="R135" s="0" t="s">
        <v>497</v>
      </c>
      <c r="S135" s="0" t="s">
        <v>337</v>
      </c>
      <c r="T135" s="0">
        <f>HYPERLINK("https://storage.sslt.ae/ItemVariation/08DCD7BC-BF93-4523-8BA8-9CE3BB4A9C2C/66E3A3D0-18BB-40BE-9BDD-1F589519D6AE.png","Variant Image")</f>
      </c>
      <c r="U135" s="0">
        <f>HYPERLINK("https://ec-qa-storage.kldlms.com/Item/08DCD7BC-BF93-4523-8BA8-9CE3BB4A9C2C/1A8A94E0-5DFB-41B1-A44A-8F95AD6D905A.png","Thumbnail Image")</f>
      </c>
      <c r="V135" s="0">
        <f>HYPERLINK("https://ec-qa-storage.kldlms.com/ItemGallery/08DCD7BC-BF93-4523-8BA8-9CE3BB4A9C2C/6D7823A5-C92C-498D-A67F-83BEBD1626DD.png","Gallery Image ")</f>
      </c>
      <c r="W135" s="0" t="s">
        <v>22</v>
      </c>
    </row>
    <row r="136">
      <c r="A136" s="0" t="s">
        <v>487</v>
      </c>
      <c r="B136" s="0" t="s">
        <v>487</v>
      </c>
      <c r="C136" s="0" t="s">
        <v>499</v>
      </c>
      <c r="D136" s="0" t="s">
        <v>478</v>
      </c>
      <c r="E136" s="0" t="s">
        <v>105</v>
      </c>
      <c r="F136" s="0" t="s">
        <v>29</v>
      </c>
      <c r="G136" s="0" t="s">
        <v>489</v>
      </c>
      <c r="H136" s="0" t="s">
        <v>489</v>
      </c>
      <c r="I136" s="0" t="s">
        <v>500</v>
      </c>
      <c r="J136" s="0" t="s">
        <v>500</v>
      </c>
      <c r="K136" s="0" t="s">
        <v>494</v>
      </c>
      <c r="L136" s="0" t="s">
        <v>32</v>
      </c>
      <c r="M136" s="0" t="s">
        <v>61</v>
      </c>
      <c r="N136" s="0" t="s">
        <v>276</v>
      </c>
      <c r="O136" s="0" t="s">
        <v>110</v>
      </c>
      <c r="P136" s="0" t="s">
        <v>501</v>
      </c>
      <c r="Q136" s="0" t="s">
        <v>494</v>
      </c>
      <c r="R136" s="0" t="s">
        <v>499</v>
      </c>
      <c r="S136" s="0" t="s">
        <v>276</v>
      </c>
      <c r="T136" s="0">
        <f>HYPERLINK("https://storage.sslt.ae/ItemVariation/08DCD7BE-D8D4-496B-83D8-AB9301E4CAC9/D3F28053-D499-4CB9-B21C-7308538C871E.png","Variant Image")</f>
      </c>
      <c r="U136" s="0">
        <f>HYPERLINK("https://ec-qa-storage.kldlms.com/Item/08DCD7BE-D8D4-496B-83D8-AB9301E4CAC9/88B322A4-E748-4472-B013-3E5AFDD0A2E4.png","Thumbnail Image")</f>
      </c>
      <c r="V136" s="0">
        <f>HYPERLINK("https://ec-qa-storage.kldlms.com/ItemGallery/08DCD7BE-D8D4-496B-83D8-AB9301E4CAC9/9CAB2C3F-2E9B-448B-BDEB-7DB317741BDA.png","Gallery Image ")</f>
      </c>
      <c r="W136" s="0" t="s">
        <v>22</v>
      </c>
    </row>
    <row r="137">
      <c r="P137" s="0" t="s">
        <v>125</v>
      </c>
      <c r="Q137" s="0" t="s">
        <v>491</v>
      </c>
      <c r="R137" s="0" t="s">
        <v>502</v>
      </c>
      <c r="S137" s="0" t="s">
        <v>276</v>
      </c>
      <c r="T137" s="0">
        <f>HYPERLINK("https://storage.sslt.ae/ItemVariation/08DCD7BE-D8D4-496B-83D8-AB9301E4CAC9/8D185497-3D15-422B-B9EE-A82366BBBEC0.png","Variant Image")</f>
      </c>
    </row>
    <row r="138">
      <c r="A138" s="0" t="s">
        <v>487</v>
      </c>
      <c r="B138" s="0" t="s">
        <v>487</v>
      </c>
      <c r="C138" s="0" t="s">
        <v>503</v>
      </c>
      <c r="D138" s="0" t="s">
        <v>478</v>
      </c>
      <c r="E138" s="0" t="s">
        <v>105</v>
      </c>
      <c r="F138" s="0" t="s">
        <v>29</v>
      </c>
      <c r="G138" s="0" t="s">
        <v>489</v>
      </c>
      <c r="H138" s="0" t="s">
        <v>489</v>
      </c>
      <c r="I138" s="0" t="s">
        <v>504</v>
      </c>
      <c r="J138" s="0" t="s">
        <v>504</v>
      </c>
      <c r="K138" s="0" t="s">
        <v>286</v>
      </c>
      <c r="L138" s="0" t="s">
        <v>32</v>
      </c>
      <c r="M138" s="0" t="s">
        <v>61</v>
      </c>
      <c r="N138" s="0" t="s">
        <v>209</v>
      </c>
      <c r="O138" s="0" t="s">
        <v>110</v>
      </c>
      <c r="P138" s="0" t="s">
        <v>125</v>
      </c>
      <c r="Q138" s="0" t="s">
        <v>292</v>
      </c>
      <c r="R138" s="0" t="s">
        <v>505</v>
      </c>
      <c r="S138" s="0" t="s">
        <v>164</v>
      </c>
      <c r="T138" s="0">
        <f>HYPERLINK("https://storage.sslt.ae/ItemVariation/08DCD7C2-2B79-479A-8AFF-F847CABE80EA/5C9E40B1-90FB-473C-A467-D9AE295D14B4.png","Variant Image")</f>
      </c>
      <c r="U138" s="0">
        <f>HYPERLINK("https://ec-qa-storage.kldlms.com/Item/08DCD7C2-2B79-479A-8AFF-F847CABE80EA/AE2C1874-4750-4D78-A443-1BF50EAA0EBD.png","Thumbnail Image")</f>
      </c>
      <c r="V138" s="0">
        <f>HYPERLINK("https://ec-qa-storage.kldlms.com/ItemGallery/08DCD7C2-2B79-479A-8AFF-F847CABE80EA/3168327E-8C20-4856-B2F1-63EAE3B19E76.png","Gallery Image ")</f>
      </c>
      <c r="W138" s="0" t="s">
        <v>22</v>
      </c>
    </row>
    <row r="139">
      <c r="P139" s="0" t="s">
        <v>134</v>
      </c>
      <c r="Q139" s="0" t="s">
        <v>506</v>
      </c>
      <c r="R139" s="0" t="s">
        <v>507</v>
      </c>
      <c r="S139" s="0" t="s">
        <v>164</v>
      </c>
      <c r="T139" s="0">
        <f>HYPERLINK("https://storage.sslt.ae/ItemVariation/08DCD7C2-2B79-479A-8AFF-F847CABE80EA/BA84B845-431F-4490-B53F-CC8D2721EEA2.png","Variant Image")</f>
      </c>
    </row>
    <row r="140">
      <c r="P140" s="0" t="s">
        <v>36</v>
      </c>
      <c r="Q140" s="0" t="s">
        <v>286</v>
      </c>
      <c r="R140" s="0" t="s">
        <v>503</v>
      </c>
      <c r="S140" s="0" t="s">
        <v>209</v>
      </c>
      <c r="T140" s="0">
        <f>HYPERLINK("https://storage.sslt.ae/ItemVariation/08DCD7C2-2B79-479A-8AFF-F847CABE80EA/6617661B-82EE-4965-B448-7CE7AEA10E9C.png","Variant Image")</f>
      </c>
    </row>
    <row r="141">
      <c r="A141" s="0" t="s">
        <v>487</v>
      </c>
      <c r="B141" s="0" t="s">
        <v>487</v>
      </c>
      <c r="C141" s="0" t="s">
        <v>508</v>
      </c>
      <c r="D141" s="0" t="s">
        <v>478</v>
      </c>
      <c r="E141" s="0" t="s">
        <v>105</v>
      </c>
      <c r="F141" s="0" t="s">
        <v>29</v>
      </c>
      <c r="G141" s="0" t="s">
        <v>509</v>
      </c>
      <c r="H141" s="0" t="s">
        <v>509</v>
      </c>
      <c r="I141" s="0" t="s">
        <v>510</v>
      </c>
      <c r="J141" s="0" t="s">
        <v>510</v>
      </c>
      <c r="K141" s="0" t="s">
        <v>511</v>
      </c>
      <c r="L141" s="0" t="s">
        <v>32</v>
      </c>
      <c r="M141" s="0" t="s">
        <v>61</v>
      </c>
      <c r="N141" s="0" t="s">
        <v>512</v>
      </c>
      <c r="O141" s="0" t="s">
        <v>110</v>
      </c>
      <c r="P141" s="0" t="s">
        <v>36</v>
      </c>
      <c r="Q141" s="0" t="s">
        <v>511</v>
      </c>
      <c r="R141" s="0" t="s">
        <v>508</v>
      </c>
      <c r="S141" s="0" t="s">
        <v>512</v>
      </c>
      <c r="T141" s="0">
        <f>HYPERLINK("https://storage.sslt.ae/ItemVariation/08DCD7C7-644A-4D4E-8648-527E9E21CBDF/9A5DE8AF-D457-404D-B5D4-FBF67302340A.png","Variant Image")</f>
      </c>
      <c r="U141" s="0">
        <f>HYPERLINK("https://ec-qa-storage.kldlms.com/Item/08DCD7C7-644A-4D4E-8648-527E9E21CBDF/8EA62799-88E9-4560-B147-68E94E99D3BD.png","Thumbnail Image")</f>
      </c>
      <c r="V141" s="0">
        <f>HYPERLINK("https://ec-qa-storage.kldlms.com/ItemGallery/08DCD7C7-644A-4D4E-8648-527E9E21CBDF/C58654B4-84FA-41CE-9189-D6E5DE5D799D.png","Gallery Image ")</f>
      </c>
      <c r="W141" s="0" t="s">
        <v>22</v>
      </c>
    </row>
    <row r="142">
      <c r="A142" s="0" t="s">
        <v>487</v>
      </c>
      <c r="B142" s="0" t="s">
        <v>487</v>
      </c>
      <c r="C142" s="0" t="s">
        <v>513</v>
      </c>
      <c r="D142" s="0" t="s">
        <v>478</v>
      </c>
      <c r="E142" s="0" t="s">
        <v>105</v>
      </c>
      <c r="F142" s="0" t="s">
        <v>29</v>
      </c>
      <c r="G142" s="0" t="s">
        <v>509</v>
      </c>
      <c r="H142" s="0" t="s">
        <v>509</v>
      </c>
      <c r="I142" s="0" t="s">
        <v>514</v>
      </c>
      <c r="J142" s="0" t="s">
        <v>514</v>
      </c>
      <c r="K142" s="0" t="s">
        <v>484</v>
      </c>
      <c r="L142" s="0" t="s">
        <v>32</v>
      </c>
      <c r="M142" s="0" t="s">
        <v>61</v>
      </c>
      <c r="N142" s="0" t="s">
        <v>276</v>
      </c>
      <c r="O142" s="0" t="s">
        <v>110</v>
      </c>
      <c r="P142" s="0" t="s">
        <v>515</v>
      </c>
      <c r="Q142" s="0" t="s">
        <v>484</v>
      </c>
      <c r="R142" s="0" t="s">
        <v>513</v>
      </c>
      <c r="S142" s="0" t="s">
        <v>276</v>
      </c>
      <c r="T142" s="0">
        <f>HYPERLINK("https://storage.sslt.ae/ItemVariation/08DCD7CA-2552-4452-8689-718FB7B056BD/B7E7E178-296D-47B0-942D-EDEA75455CFE.jpeg","Variant Image")</f>
      </c>
      <c r="U142" s="0">
        <f>HYPERLINK("https://ec-qa-storage.kldlms.com/Item/08DCD7CA-2552-4452-8689-718FB7B056BD/3E581D37-056C-4DB1-A45E-671831C45C12.png","Thumbnail Image")</f>
      </c>
      <c r="V142" s="0">
        <f>HYPERLINK("https://ec-qa-storage.kldlms.com/ItemGallery/08DCD7CA-2552-4452-8689-718FB7B056BD/FD7BE54E-583C-43A2-B758-613B35181FA9.png","Gallery Image ")</f>
      </c>
      <c r="W142" s="0" t="s">
        <v>22</v>
      </c>
      <c r="X142" s="0" t="s">
        <v>516</v>
      </c>
    </row>
    <row r="143">
      <c r="P143" s="0" t="s">
        <v>36</v>
      </c>
      <c r="Q143" s="0" t="s">
        <v>517</v>
      </c>
      <c r="R143" s="0" t="s">
        <v>508</v>
      </c>
      <c r="S143" s="0" t="s">
        <v>209</v>
      </c>
      <c r="T143" s="0">
        <f>HYPERLINK("https://storage.sslt.ae/ItemVariation/08DCD7CA-2552-4452-8689-718FB7B056BD/5E462CC5-2C14-443F-B77C-C7D06B352EC4.png","Variant Image")</f>
      </c>
      <c r="X143" s="0" t="s">
        <v>518</v>
      </c>
    </row>
    <row r="144">
      <c r="A144" s="0" t="s">
        <v>519</v>
      </c>
      <c r="B144" s="0" t="s">
        <v>520</v>
      </c>
      <c r="C144" s="0" t="s">
        <v>521</v>
      </c>
      <c r="D144" s="0" t="s">
        <v>27</v>
      </c>
      <c r="E144" s="0" t="s">
        <v>28</v>
      </c>
      <c r="F144" s="0" t="s">
        <v>29</v>
      </c>
      <c r="G144" s="0" t="s">
        <v>522</v>
      </c>
      <c r="H144" s="0" t="s">
        <v>522</v>
      </c>
      <c r="I144" s="0" t="s">
        <v>523</v>
      </c>
      <c r="J144" s="0" t="s">
        <v>523</v>
      </c>
      <c r="K144" s="0" t="s">
        <v>524</v>
      </c>
      <c r="L144" s="0" t="s">
        <v>525</v>
      </c>
      <c r="M144" s="0" t="s">
        <v>61</v>
      </c>
      <c r="N144" s="0" t="s">
        <v>526</v>
      </c>
      <c r="O144" s="0" t="s">
        <v>110</v>
      </c>
      <c r="P144" s="0" t="s">
        <v>527</v>
      </c>
      <c r="Q144" s="0" t="s">
        <v>524</v>
      </c>
      <c r="R144" s="0" t="s">
        <v>521</v>
      </c>
      <c r="S144" s="0" t="s">
        <v>526</v>
      </c>
      <c r="T144" s="0">
        <f>HYPERLINK("https://storage.sslt.ae/ItemVariation/08DCD872-3490-40D0-8A43-94AF485A2DE3/0E841F37-DC04-47C3-A17F-5DD7974D3055.png","Variant Image")</f>
      </c>
      <c r="U144" s="0">
        <f>HYPERLINK("https://ec-qa-storage.kldlms.com/Item/08DCD872-3490-40D0-8A43-94AF485A2DE3/A7DA1398-AAA5-49FB-88D5-149A3569360A.png","Thumbnail Image")</f>
      </c>
      <c r="V144" s="0">
        <f>HYPERLINK("https://ec-qa-storage.kldlms.com/ItemGallery/08DCD872-3490-40D0-8A43-94AF485A2DE3/F661C0EC-99D0-483F-8C35-0BCA334C05AA.png","Gallery Image ")</f>
      </c>
      <c r="W144" s="0" t="s">
        <v>22</v>
      </c>
      <c r="X144" s="0" t="s">
        <v>528</v>
      </c>
    </row>
    <row r="145">
      <c r="A145" s="0" t="s">
        <v>529</v>
      </c>
      <c r="B145" s="0" t="s">
        <v>530</v>
      </c>
      <c r="C145" s="0" t="s">
        <v>531</v>
      </c>
      <c r="D145" s="0" t="s">
        <v>27</v>
      </c>
      <c r="E145" s="0" t="s">
        <v>28</v>
      </c>
      <c r="F145" s="0" t="s">
        <v>29</v>
      </c>
      <c r="G145" s="0" t="s">
        <v>522</v>
      </c>
      <c r="H145" s="0" t="s">
        <v>522</v>
      </c>
      <c r="I145" s="0" t="s">
        <v>532</v>
      </c>
      <c r="J145" s="0" t="s">
        <v>532</v>
      </c>
      <c r="K145" s="0" t="s">
        <v>533</v>
      </c>
      <c r="L145" s="0" t="s">
        <v>32</v>
      </c>
      <c r="M145" s="0" t="s">
        <v>61</v>
      </c>
      <c r="N145" s="0" t="s">
        <v>526</v>
      </c>
      <c r="O145" s="0" t="s">
        <v>110</v>
      </c>
      <c r="P145" s="0" t="s">
        <v>527</v>
      </c>
      <c r="Q145" s="0" t="s">
        <v>533</v>
      </c>
      <c r="R145" s="0" t="s">
        <v>531</v>
      </c>
      <c r="S145" s="0" t="s">
        <v>526</v>
      </c>
      <c r="T145" s="0">
        <f>HYPERLINK("https://storage.sslt.ae/ItemVariation/08DCD874-0DB5-4CAC-82D4-4FD5C4A59741/6A868AB4-66B8-4C2F-B0E1-AC6C8DCB5ABA.png","Variant Image")</f>
      </c>
      <c r="U145" s="0">
        <f>HYPERLINK("https://ec-qa-storage.kldlms.com/Item/08DCD874-0DB5-4CAC-82D4-4FD5C4A59741/8463FEDA-DA61-4E79-8DB6-AEB49569E798.png","Thumbnail Image")</f>
      </c>
      <c r="V145" s="0">
        <f>HYPERLINK("https://ec-qa-storage.kldlms.com/ItemGallery/08DCD874-0DB5-4CAC-82D4-4FD5C4A59741/0EA80782-17C8-42E9-A380-B84D65A754B8.png","Gallery Image ")</f>
      </c>
      <c r="W145" s="0" t="s">
        <v>22</v>
      </c>
      <c r="X145" s="0" t="s">
        <v>534</v>
      </c>
    </row>
    <row r="146">
      <c r="A146" s="0" t="s">
        <v>529</v>
      </c>
      <c r="B146" s="0" t="s">
        <v>530</v>
      </c>
      <c r="C146" s="0" t="s">
        <v>535</v>
      </c>
      <c r="D146" s="0" t="s">
        <v>27</v>
      </c>
      <c r="E146" s="0" t="s">
        <v>28</v>
      </c>
      <c r="F146" s="0" t="s">
        <v>29</v>
      </c>
      <c r="G146" s="0" t="s">
        <v>316</v>
      </c>
      <c r="H146" s="0" t="s">
        <v>316</v>
      </c>
      <c r="I146" s="0" t="s">
        <v>536</v>
      </c>
      <c r="J146" s="0" t="s">
        <v>537</v>
      </c>
      <c r="K146" s="0" t="s">
        <v>538</v>
      </c>
      <c r="L146" s="0" t="s">
        <v>32</v>
      </c>
      <c r="M146" s="0" t="s">
        <v>61</v>
      </c>
      <c r="N146" s="0" t="s">
        <v>539</v>
      </c>
      <c r="O146" s="0" t="s">
        <v>110</v>
      </c>
      <c r="P146" s="0" t="s">
        <v>527</v>
      </c>
      <c r="Q146" s="0" t="s">
        <v>538</v>
      </c>
      <c r="R146" s="0" t="s">
        <v>535</v>
      </c>
      <c r="S146" s="0" t="s">
        <v>539</v>
      </c>
      <c r="T146" s="0">
        <f>HYPERLINK("https://storage.sslt.ae/ItemVariation/08DCD875-E9E5-4154-88FE-49CF3F08397C/3425B66B-E4B9-4C3B-8EA8-36B6E6056DD7.png","Variant Image")</f>
      </c>
      <c r="U146" s="0">
        <f>HYPERLINK("https://ec-qa-storage.kldlms.com/Item/08DCD875-E9E5-4154-88FE-49CF3F08397C/E1C94E3B-0C82-4D2D-9D8D-77A4952A25FE.png","Thumbnail Image")</f>
      </c>
      <c r="V146" s="0">
        <f>HYPERLINK("https://ec-qa-storage.kldlms.com/ItemGallery/08DCD875-E9E5-4154-88FE-49CF3F08397C/E23719C4-14B9-487D-BDA0-15C0312FFD56.png","Gallery Image ")</f>
      </c>
      <c r="W146" s="0" t="s">
        <v>22</v>
      </c>
      <c r="X146" s="0" t="s">
        <v>540</v>
      </c>
    </row>
    <row r="147">
      <c r="A147" s="0" t="s">
        <v>529</v>
      </c>
      <c r="B147" s="0" t="s">
        <v>530</v>
      </c>
      <c r="C147" s="0" t="s">
        <v>541</v>
      </c>
      <c r="D147" s="0" t="s">
        <v>27</v>
      </c>
      <c r="E147" s="0" t="s">
        <v>28</v>
      </c>
      <c r="F147" s="0" t="s">
        <v>29</v>
      </c>
      <c r="G147" s="0" t="s">
        <v>316</v>
      </c>
      <c r="H147" s="0" t="s">
        <v>316</v>
      </c>
      <c r="I147" s="0" t="s">
        <v>542</v>
      </c>
      <c r="J147" s="0" t="s">
        <v>542</v>
      </c>
      <c r="K147" s="0" t="s">
        <v>543</v>
      </c>
      <c r="L147" s="0" t="s">
        <v>32</v>
      </c>
      <c r="M147" s="0" t="s">
        <v>61</v>
      </c>
      <c r="N147" s="0" t="s">
        <v>544</v>
      </c>
      <c r="O147" s="0" t="s">
        <v>110</v>
      </c>
      <c r="P147" s="0" t="s">
        <v>527</v>
      </c>
      <c r="Q147" s="0" t="s">
        <v>545</v>
      </c>
      <c r="R147" s="0" t="s">
        <v>541</v>
      </c>
      <c r="S147" s="0" t="s">
        <v>544</v>
      </c>
      <c r="T147" s="0">
        <f>HYPERLINK("https://storage.sslt.ae/ItemVariation/08DCD877-96B2-4BE7-8604-601C56B64038/78C7B237-EDD6-45C0-9CC0-02546A810005.png","Variant Image")</f>
      </c>
      <c r="U147" s="0">
        <f>HYPERLINK("https://ec-qa-storage.kldlms.com/Item/08DCD877-96B2-4BE7-8604-601C56B64038/89FC48A5-A974-4E94-8595-F1F73DD1FFF1.png","Thumbnail Image")</f>
      </c>
      <c r="V147" s="0">
        <f>HYPERLINK("https://ec-qa-storage.kldlms.com/ItemGallery/08DCD877-96B2-4BE7-8604-601C56B64038/375CBABF-5BC4-4624-91C6-62D10BBCB707.png","Gallery Image ")</f>
      </c>
      <c r="W147" s="0" t="s">
        <v>22</v>
      </c>
      <c r="X147" s="0" t="s">
        <v>546</v>
      </c>
    </row>
    <row r="148">
      <c r="A148" s="0" t="s">
        <v>529</v>
      </c>
      <c r="B148" s="0" t="s">
        <v>530</v>
      </c>
      <c r="C148" s="0" t="s">
        <v>547</v>
      </c>
      <c r="D148" s="0" t="s">
        <v>27</v>
      </c>
      <c r="E148" s="0" t="s">
        <v>28</v>
      </c>
      <c r="F148" s="0" t="s">
        <v>29</v>
      </c>
      <c r="G148" s="0" t="s">
        <v>316</v>
      </c>
      <c r="H148" s="0" t="s">
        <v>316</v>
      </c>
      <c r="I148" s="0" t="s">
        <v>548</v>
      </c>
      <c r="J148" s="0" t="s">
        <v>549</v>
      </c>
      <c r="K148" s="0" t="s">
        <v>550</v>
      </c>
      <c r="L148" s="0" t="s">
        <v>32</v>
      </c>
      <c r="M148" s="0" t="s">
        <v>61</v>
      </c>
      <c r="N148" s="0" t="s">
        <v>551</v>
      </c>
      <c r="O148" s="0" t="s">
        <v>110</v>
      </c>
      <c r="P148" s="0" t="s">
        <v>527</v>
      </c>
      <c r="Q148" s="0" t="s">
        <v>552</v>
      </c>
      <c r="R148" s="0" t="s">
        <v>547</v>
      </c>
      <c r="S148" s="0" t="s">
        <v>551</v>
      </c>
      <c r="T148" s="0">
        <f>HYPERLINK("https://storage.sslt.ae/ItemVariation/08DCD87C-94F0-4560-88E3-9B5FFDF0F9F9/C0714813-3C91-4557-81B5-B3BE44F7C791.png","Variant Image")</f>
      </c>
      <c r="U148" s="0">
        <f>HYPERLINK("https://ec-qa-storage.kldlms.com/Item/08DCD87C-94F0-4560-88E3-9B5FFDF0F9F9/7A1A4B08-3BC3-44AE-B96D-4A151FC4E6EE.png","Thumbnail Image")</f>
      </c>
      <c r="V148" s="0">
        <f>HYPERLINK("https://ec-qa-storage.kldlms.com/ItemGallery/08DCD87C-94F0-4560-88E3-9B5FFDF0F9F9/B4304CE8-8D2E-45DC-9BFC-804202658AE3.png","Gallery Image ")</f>
      </c>
      <c r="W148" s="0" t="s">
        <v>22</v>
      </c>
      <c r="X148" s="0" t="s">
        <v>553</v>
      </c>
    </row>
    <row r="149">
      <c r="A149" s="0" t="s">
        <v>554</v>
      </c>
      <c r="B149" s="0" t="s">
        <v>554</v>
      </c>
      <c r="C149" s="0" t="s">
        <v>555</v>
      </c>
      <c r="D149" s="0" t="s">
        <v>27</v>
      </c>
      <c r="E149" s="0" t="s">
        <v>556</v>
      </c>
      <c r="F149" s="0" t="s">
        <v>557</v>
      </c>
      <c r="G149" s="0" t="s">
        <v>554</v>
      </c>
      <c r="H149" s="0" t="s">
        <v>554</v>
      </c>
      <c r="I149" s="0" t="s">
        <v>558</v>
      </c>
      <c r="J149" s="0" t="s">
        <v>558</v>
      </c>
      <c r="K149" s="0" t="s">
        <v>559</v>
      </c>
      <c r="L149" s="0" t="s">
        <v>32</v>
      </c>
      <c r="M149" s="0" t="s">
        <v>33</v>
      </c>
      <c r="N149" s="0" t="s">
        <v>560</v>
      </c>
      <c r="O149" s="0" t="s">
        <v>35</v>
      </c>
      <c r="P149" s="0" t="s">
        <v>39</v>
      </c>
      <c r="Q149" s="0" t="s">
        <v>561</v>
      </c>
      <c r="R149" s="0" t="s">
        <v>555</v>
      </c>
      <c r="S149" s="0" t="s">
        <v>560</v>
      </c>
      <c r="T149" s="0">
        <f>HYPERLINK("https://storage.sslt.ae/ItemVariation/08DCD87F-F516-4D1E-8B77-C8C9A6868276/4ADD0C56-39F5-4EBD-84C7-1554D8B8F2B0.png","Variant Image")</f>
      </c>
      <c r="U149" s="0">
        <f>HYPERLINK("https://ec-qa-storage.kldlms.com/Item/08DCD87F-F516-4D1E-8B77-C8C9A6868276/E7C5FA08-B1B0-4AB6-B2D9-5CA09DE3A9CC.jpg","Thumbnail Image")</f>
      </c>
      <c r="V149" s="0">
        <f>HYPERLINK("https://ec-qa-storage.kldlms.com/ItemGallery/08DCD87F-F516-4D1E-8B77-C8C9A6868276/4608D201-6751-40AA-A263-29F223301F45.jpg","Gallery Image ")</f>
      </c>
      <c r="W149" s="0" t="s">
        <v>22</v>
      </c>
      <c r="X149" s="0" t="s">
        <v>562</v>
      </c>
    </row>
    <row r="150">
      <c r="P150" s="0" t="s">
        <v>563</v>
      </c>
      <c r="Q150" s="0" t="s">
        <v>561</v>
      </c>
      <c r="R150" s="0" t="s">
        <v>555</v>
      </c>
      <c r="S150" s="0" t="s">
        <v>560</v>
      </c>
      <c r="T150" s="0">
        <f>HYPERLINK("https://storage.sslt.ae/ItemVariation/08DCD87F-F516-4D1E-8B77-C8C9A6868276/26C9BC38-E172-4984-A6FB-AC6E878260A2.jpg","Variant Image")</f>
      </c>
      <c r="X150" s="0" t="s">
        <v>562</v>
      </c>
    </row>
    <row r="151">
      <c r="A151" s="0" t="s">
        <v>529</v>
      </c>
      <c r="B151" s="0" t="s">
        <v>530</v>
      </c>
      <c r="C151" s="0" t="s">
        <v>564</v>
      </c>
      <c r="D151" s="0" t="s">
        <v>27</v>
      </c>
      <c r="E151" s="0" t="s">
        <v>28</v>
      </c>
      <c r="F151" s="0" t="s">
        <v>29</v>
      </c>
      <c r="G151" s="0" t="s">
        <v>316</v>
      </c>
      <c r="H151" s="0" t="s">
        <v>316</v>
      </c>
      <c r="I151" s="0" t="s">
        <v>565</v>
      </c>
      <c r="J151" s="0" t="s">
        <v>565</v>
      </c>
      <c r="K151" s="0" t="s">
        <v>550</v>
      </c>
      <c r="L151" s="0" t="s">
        <v>32</v>
      </c>
      <c r="M151" s="0" t="s">
        <v>61</v>
      </c>
      <c r="N151" s="0" t="s">
        <v>566</v>
      </c>
      <c r="O151" s="0" t="s">
        <v>110</v>
      </c>
      <c r="P151" s="0" t="s">
        <v>527</v>
      </c>
      <c r="Q151" s="0" t="s">
        <v>552</v>
      </c>
      <c r="R151" s="0" t="s">
        <v>564</v>
      </c>
      <c r="S151" s="0" t="s">
        <v>566</v>
      </c>
      <c r="T151" s="0">
        <f>HYPERLINK("https://storage.sslt.ae/ItemVariation/08DCD89E-BD4F-4B0C-8CA4-5954F03B33E3/49E91497-D2A5-474C-8921-413D74941055.png","Variant Image")</f>
      </c>
      <c r="U151" s="0">
        <f>HYPERLINK("https://ec-qa-storage.kldlms.com/Item/08DCD89E-BD4F-4B0C-8CA4-5954F03B33E3/6225855F-D5BC-4701-BED3-36750CB76935.png","Thumbnail Image")</f>
      </c>
      <c r="V151" s="0">
        <f>HYPERLINK("https://ec-qa-storage.kldlms.com/ItemGallery/08DCD89E-BD4F-4B0C-8CA4-5954F03B33E3/690B81B1-35D3-4DC1-AA94-4E086DE1BEBB.png","Gallery Image ")</f>
      </c>
      <c r="W151" s="0" t="s">
        <v>22</v>
      </c>
      <c r="X151" s="0" t="s">
        <v>567</v>
      </c>
    </row>
    <row r="152">
      <c r="A152" s="0" t="s">
        <v>529</v>
      </c>
      <c r="B152" s="0" t="s">
        <v>530</v>
      </c>
      <c r="C152" s="0" t="s">
        <v>568</v>
      </c>
      <c r="D152" s="0" t="s">
        <v>27</v>
      </c>
      <c r="E152" s="0" t="s">
        <v>28</v>
      </c>
      <c r="F152" s="0" t="s">
        <v>29</v>
      </c>
      <c r="G152" s="0" t="s">
        <v>522</v>
      </c>
      <c r="H152" s="0" t="s">
        <v>522</v>
      </c>
      <c r="I152" s="0" t="s">
        <v>569</v>
      </c>
      <c r="J152" s="0" t="s">
        <v>570</v>
      </c>
      <c r="K152" s="0" t="s">
        <v>571</v>
      </c>
      <c r="L152" s="0" t="s">
        <v>32</v>
      </c>
      <c r="M152" s="0" t="s">
        <v>61</v>
      </c>
      <c r="N152" s="0" t="s">
        <v>164</v>
      </c>
      <c r="O152" s="0" t="s">
        <v>110</v>
      </c>
      <c r="P152" s="0" t="s">
        <v>527</v>
      </c>
      <c r="Q152" s="0" t="s">
        <v>572</v>
      </c>
      <c r="R152" s="0" t="s">
        <v>568</v>
      </c>
      <c r="S152" s="0" t="s">
        <v>164</v>
      </c>
      <c r="T152" s="0">
        <f>HYPERLINK("https://storage.sslt.ae/ItemVariation/08DCD8A0-D105-40A3-824F-1C4885EC213C/3E6E1A22-6D03-440C-995E-ECA05BA4D707.png","Variant Image")</f>
      </c>
      <c r="U152" s="0">
        <f>HYPERLINK("https://ec-qa-storage.kldlms.com/Item/08DCD8A0-D105-40A3-824F-1C4885EC213C/0E512DE7-382C-40FB-B833-617498ED4121.png","Thumbnail Image")</f>
      </c>
      <c r="V152" s="0">
        <f>HYPERLINK("https://ec-qa-storage.kldlms.com/ItemGallery/08DCD8A0-D105-40A3-824F-1C4885EC213C/A388AFCC-EFC0-4E37-8976-A9D4F8111BE1.png","Gallery Image ")</f>
      </c>
      <c r="W152" s="0" t="s">
        <v>22</v>
      </c>
      <c r="X152" s="0" t="s">
        <v>573</v>
      </c>
    </row>
    <row r="153">
      <c r="A153" s="0" t="s">
        <v>574</v>
      </c>
      <c r="B153" s="0" t="s">
        <v>574</v>
      </c>
      <c r="C153" s="0" t="s">
        <v>575</v>
      </c>
      <c r="D153" s="0" t="s">
        <v>27</v>
      </c>
      <c r="E153" s="0" t="s">
        <v>556</v>
      </c>
      <c r="F153" s="0" t="s">
        <v>557</v>
      </c>
      <c r="G153" s="0" t="s">
        <v>574</v>
      </c>
      <c r="H153" s="0" t="s">
        <v>574</v>
      </c>
      <c r="I153" s="0" t="s">
        <v>576</v>
      </c>
      <c r="J153" s="0" t="s">
        <v>576</v>
      </c>
      <c r="K153" s="0" t="s">
        <v>577</v>
      </c>
      <c r="L153" s="0" t="s">
        <v>32</v>
      </c>
      <c r="M153" s="0" t="s">
        <v>33</v>
      </c>
      <c r="N153" s="0" t="s">
        <v>578</v>
      </c>
      <c r="O153" s="0" t="s">
        <v>35</v>
      </c>
      <c r="P153" s="0" t="s">
        <v>39</v>
      </c>
      <c r="Q153" s="0" t="s">
        <v>579</v>
      </c>
      <c r="R153" s="0" t="s">
        <v>575</v>
      </c>
      <c r="S153" s="0" t="s">
        <v>578</v>
      </c>
      <c r="T153" s="0">
        <f>HYPERLINK("https://storage.sslt.ae/ItemVariation/08DCD8A3-8F61-46AB-803F-86DF308B1174/FE0A7816-8F22-4AC0-B7E7-85C79E4DA647.png","Variant Image")</f>
      </c>
      <c r="U153" s="0">
        <f>HYPERLINK("https://ec-qa-storage.kldlms.com/Item/08DCD8A3-8F61-46AB-803F-86DF308B1174/29A4F38D-2515-4AE8-8647-49AAA4AEB16A.jpg","Thumbnail Image")</f>
      </c>
      <c r="V153" s="0">
        <f>HYPERLINK("https://ec-qa-storage.kldlms.com/ItemGallery/08DCD8A3-8F61-46AB-803F-86DF308B1174/8D90AFA4-7DF1-461A-B47C-57877A0B4467.jpg","Gallery Image ")</f>
      </c>
      <c r="W153" s="0" t="s">
        <v>22</v>
      </c>
      <c r="X153" s="0" t="s">
        <v>580</v>
      </c>
    </row>
    <row r="154">
      <c r="P154" s="0" t="s">
        <v>527</v>
      </c>
      <c r="Q154" s="0" t="s">
        <v>579</v>
      </c>
      <c r="R154" s="0" t="s">
        <v>575</v>
      </c>
      <c r="S154" s="0" t="s">
        <v>578</v>
      </c>
      <c r="T154" s="0">
        <f>HYPERLINK("https://storage.sslt.ae/ItemVariation/08DCD8A3-8F61-46AB-803F-86DF308B1174/97A927B9-DFB9-4C15-AC52-8E672671A256.jpg","Variant Image")</f>
      </c>
      <c r="X154" s="0" t="s">
        <v>580</v>
      </c>
    </row>
    <row r="155">
      <c r="A155" s="0" t="s">
        <v>529</v>
      </c>
      <c r="B155" s="0" t="s">
        <v>530</v>
      </c>
      <c r="C155" s="0" t="s">
        <v>581</v>
      </c>
      <c r="D155" s="0" t="s">
        <v>27</v>
      </c>
      <c r="E155" s="0" t="s">
        <v>28</v>
      </c>
      <c r="F155" s="0" t="s">
        <v>29</v>
      </c>
      <c r="G155" s="0" t="s">
        <v>522</v>
      </c>
      <c r="H155" s="0" t="s">
        <v>522</v>
      </c>
      <c r="I155" s="0" t="s">
        <v>582</v>
      </c>
      <c r="J155" s="0" t="s">
        <v>582</v>
      </c>
      <c r="K155" s="0" t="s">
        <v>583</v>
      </c>
      <c r="L155" s="0" t="s">
        <v>32</v>
      </c>
      <c r="M155" s="0" t="s">
        <v>61</v>
      </c>
      <c r="N155" s="0" t="s">
        <v>32</v>
      </c>
      <c r="O155" s="0" t="s">
        <v>110</v>
      </c>
      <c r="P155" s="0" t="s">
        <v>527</v>
      </c>
      <c r="Q155" s="0" t="s">
        <v>584</v>
      </c>
      <c r="R155" s="0" t="s">
        <v>581</v>
      </c>
      <c r="S155" s="0" t="s">
        <v>92</v>
      </c>
      <c r="T155" s="0">
        <f>HYPERLINK("https://storage.sslt.ae/ItemVariation/08DCD8AB-A6D3-4728-8676-FAC183D7D3DA/48AD33CA-AA40-48BE-9D51-3BA4352CF324.png","Variant Image")</f>
      </c>
      <c r="U155" s="0">
        <f>HYPERLINK("https://ec-qa-storage.kldlms.com/Item/08DCD8AB-A6D3-4728-8676-FAC183D7D3DA/D17C36DF-7610-40A8-9D06-BD7711AED93B.png","Thumbnail Image")</f>
      </c>
      <c r="V155" s="0">
        <f>HYPERLINK("https://ec-qa-storage.kldlms.com/ItemGallery/08DCD8AB-A6D3-4728-8676-FAC183D7D3DA/89F3C995-F76E-43E5-B951-0D2929EE1BEF.png","Gallery Image ")</f>
      </c>
      <c r="W155" s="0" t="s">
        <v>22</v>
      </c>
      <c r="X155" s="0" t="s">
        <v>585</v>
      </c>
    </row>
    <row r="156">
      <c r="A156" s="0" t="s">
        <v>529</v>
      </c>
      <c r="B156" s="0" t="s">
        <v>530</v>
      </c>
      <c r="C156" s="0" t="s">
        <v>586</v>
      </c>
      <c r="D156" s="0" t="s">
        <v>27</v>
      </c>
      <c r="E156" s="0" t="s">
        <v>28</v>
      </c>
      <c r="F156" s="0" t="s">
        <v>29</v>
      </c>
      <c r="G156" s="0" t="s">
        <v>587</v>
      </c>
      <c r="H156" s="0" t="s">
        <v>587</v>
      </c>
      <c r="I156" s="0" t="s">
        <v>588</v>
      </c>
      <c r="J156" s="0" t="s">
        <v>588</v>
      </c>
      <c r="K156" s="0" t="s">
        <v>174</v>
      </c>
      <c r="L156" s="0" t="s">
        <v>32</v>
      </c>
      <c r="M156" s="0" t="s">
        <v>61</v>
      </c>
      <c r="N156" s="0" t="s">
        <v>589</v>
      </c>
      <c r="O156" s="0" t="s">
        <v>110</v>
      </c>
      <c r="P156" s="0" t="s">
        <v>590</v>
      </c>
      <c r="Q156" s="0" t="s">
        <v>591</v>
      </c>
      <c r="R156" s="0" t="s">
        <v>592</v>
      </c>
      <c r="S156" s="0" t="s">
        <v>589</v>
      </c>
      <c r="T156" s="0">
        <f>HYPERLINK("https://storage.sslt.ae/ItemVariation/08DCD945-0AD0-4215-83CB-C707E7E37477/FBE8E890-DE7F-4E4D-AF22-C8A106D916AC.webp","Variant Image")</f>
      </c>
      <c r="U156" s="0">
        <f>HYPERLINK("https://ec-qa-storage.kldlms.com/Item/08DCD945-0AD0-4215-83CB-C707E7E37477/7CDAAECE-5C4E-4591-8A2C-D2AFF74DA6CD.png","Thumbnail Image")</f>
      </c>
      <c r="V156" s="0">
        <f>HYPERLINK("https://ec-qa-storage.kldlms.com/ItemGallery/08DCD945-0AD0-4215-83CB-C707E7E37477/5764B44B-7EBC-4C93-A9C6-96A44997F6D3.png","Gallery Image ")</f>
      </c>
      <c r="W156" s="0" t="s">
        <v>22</v>
      </c>
    </row>
    <row r="157">
      <c r="P157" s="0" t="s">
        <v>593</v>
      </c>
      <c r="Q157" s="0" t="s">
        <v>174</v>
      </c>
      <c r="R157" s="0" t="s">
        <v>586</v>
      </c>
      <c r="S157" s="0" t="s">
        <v>589</v>
      </c>
      <c r="T157" s="0">
        <f>HYPERLINK("https://storage.sslt.ae/ItemVariation/08DCD945-0AD0-4215-83CB-C707E7E37477/88E8BFA8-8BAB-455E-BBC5-071AADA0FAA1.png","Variant Image")</f>
      </c>
    </row>
    <row r="158">
      <c r="A158" s="0" t="s">
        <v>529</v>
      </c>
      <c r="B158" s="0" t="s">
        <v>530</v>
      </c>
      <c r="C158" s="0" t="s">
        <v>594</v>
      </c>
      <c r="D158" s="0" t="s">
        <v>27</v>
      </c>
      <c r="E158" s="0" t="s">
        <v>28</v>
      </c>
      <c r="F158" s="0" t="s">
        <v>29</v>
      </c>
      <c r="G158" s="0" t="s">
        <v>522</v>
      </c>
      <c r="H158" s="0" t="s">
        <v>522</v>
      </c>
      <c r="I158" s="0" t="s">
        <v>595</v>
      </c>
      <c r="J158" s="0" t="s">
        <v>595</v>
      </c>
      <c r="K158" s="0" t="s">
        <v>596</v>
      </c>
      <c r="L158" s="0" t="s">
        <v>32</v>
      </c>
      <c r="M158" s="0" t="s">
        <v>61</v>
      </c>
      <c r="N158" s="0" t="s">
        <v>597</v>
      </c>
      <c r="O158" s="0" t="s">
        <v>110</v>
      </c>
      <c r="P158" s="0" t="s">
        <v>527</v>
      </c>
      <c r="Q158" s="0" t="s">
        <v>596</v>
      </c>
      <c r="R158" s="0" t="s">
        <v>594</v>
      </c>
      <c r="S158" s="0" t="s">
        <v>597</v>
      </c>
      <c r="T158" s="0">
        <f>HYPERLINK("https://storage.sslt.ae/ItemVariation/08DCD946-05B4-4D4A-8269-23B03D9E93CB/39D86DCC-09AC-4DD6-ABDE-DF160EF726EC.png","Variant Image")</f>
      </c>
      <c r="U158" s="0">
        <f>HYPERLINK("https://ec-qa-storage.kldlms.com/Item/08DCD946-05B4-4D4A-8269-23B03D9E93CB/EE60F626-DD7C-4204-868B-390CD95EC8EE.png","Thumbnail Image")</f>
      </c>
      <c r="V158" s="0">
        <f>HYPERLINK("https://ec-qa-storage.kldlms.com/ItemGallery/08DCD946-05B4-4D4A-8269-23B03D9E93CB/DBBF4501-D4FC-4D3C-A6FB-136E59B9FA58.png","Gallery Image ")</f>
      </c>
      <c r="W158" s="0" t="s">
        <v>22</v>
      </c>
      <c r="X158" s="0" t="s">
        <v>598</v>
      </c>
    </row>
    <row r="159">
      <c r="A159" s="0" t="s">
        <v>529</v>
      </c>
      <c r="B159" s="0" t="s">
        <v>530</v>
      </c>
      <c r="C159" s="0" t="s">
        <v>599</v>
      </c>
      <c r="D159" s="0" t="s">
        <v>27</v>
      </c>
      <c r="E159" s="0" t="s">
        <v>28</v>
      </c>
      <c r="F159" s="0" t="s">
        <v>29</v>
      </c>
      <c r="G159" s="0" t="s">
        <v>600</v>
      </c>
      <c r="H159" s="0" t="s">
        <v>600</v>
      </c>
      <c r="I159" s="0" t="s">
        <v>601</v>
      </c>
      <c r="J159" s="0" t="s">
        <v>601</v>
      </c>
      <c r="K159" s="0" t="s">
        <v>602</v>
      </c>
      <c r="L159" s="0" t="s">
        <v>32</v>
      </c>
      <c r="M159" s="0" t="s">
        <v>61</v>
      </c>
      <c r="N159" s="0" t="s">
        <v>603</v>
      </c>
      <c r="O159" s="0" t="s">
        <v>110</v>
      </c>
      <c r="P159" s="0" t="s">
        <v>527</v>
      </c>
      <c r="Q159" s="0" t="s">
        <v>602</v>
      </c>
      <c r="R159" s="0" t="s">
        <v>599</v>
      </c>
      <c r="S159" s="0" t="s">
        <v>603</v>
      </c>
      <c r="T159" s="0">
        <f>HYPERLINK("https://storage.sslt.ae/ItemVariation/08DCD947-AF12-4229-8794-165F8F04AB9E/92F2944B-BCB5-451D-BCC4-9AAB306A6265.png","Variant Image")</f>
      </c>
      <c r="U159" s="0">
        <f>HYPERLINK("https://ec-qa-storage.kldlms.com/Item/08DCD947-AF12-4229-8794-165F8F04AB9E/F8E02247-338F-49A7-907F-1F89E6168E0D.png","Thumbnail Image")</f>
      </c>
      <c r="V159" s="0">
        <f>HYPERLINK("https://ec-qa-storage.kldlms.com/ItemGallery/08DCD947-AF12-4229-8794-165F8F04AB9E/977FF171-7D9A-489A-8413-2DE1EFED47E3.png","Gallery Image ")</f>
      </c>
      <c r="W159" s="0" t="s">
        <v>22</v>
      </c>
      <c r="X159" s="0" t="s">
        <v>604</v>
      </c>
    </row>
    <row r="160">
      <c r="A160" s="0" t="s">
        <v>529</v>
      </c>
      <c r="B160" s="0" t="s">
        <v>530</v>
      </c>
      <c r="C160" s="0" t="s">
        <v>605</v>
      </c>
      <c r="D160" s="0" t="s">
        <v>27</v>
      </c>
      <c r="E160" s="0" t="s">
        <v>28</v>
      </c>
      <c r="F160" s="0" t="s">
        <v>29</v>
      </c>
      <c r="G160" s="0" t="s">
        <v>316</v>
      </c>
      <c r="H160" s="0" t="s">
        <v>316</v>
      </c>
      <c r="I160" s="0" t="s">
        <v>606</v>
      </c>
      <c r="J160" s="0" t="s">
        <v>606</v>
      </c>
      <c r="K160" s="0" t="s">
        <v>533</v>
      </c>
      <c r="L160" s="0" t="s">
        <v>32</v>
      </c>
      <c r="M160" s="0" t="s">
        <v>61</v>
      </c>
      <c r="N160" s="0" t="s">
        <v>597</v>
      </c>
      <c r="O160" s="0" t="s">
        <v>110</v>
      </c>
      <c r="P160" s="0" t="s">
        <v>527</v>
      </c>
      <c r="Q160" s="0" t="s">
        <v>533</v>
      </c>
      <c r="R160" s="0" t="s">
        <v>605</v>
      </c>
      <c r="S160" s="0" t="s">
        <v>597</v>
      </c>
      <c r="T160" s="0">
        <f>HYPERLINK("https://storage.sslt.ae/ItemVariation/08DCD948-E6AC-4288-84A9-07541B22C253/3E3E0F88-2EF0-482E-8FF8-AF292F93F523.png","Variant Image")</f>
      </c>
      <c r="U160" s="0">
        <f>HYPERLINK("https://ec-qa-storage.kldlms.com/Item/08DCD948-E6AC-4288-84A9-07541B22C253/5D04782C-52B2-48AC-8256-36C086FD2BEA.png","Thumbnail Image")</f>
      </c>
      <c r="V160" s="0">
        <f>HYPERLINK("https://ec-qa-storage.kldlms.com/ItemGallery/08DCD948-E6AC-4288-84A9-07541B22C253/B4E6445B-8972-452F-A7D9-5B377ACA1D72.png","Gallery Image ")</f>
      </c>
      <c r="W160" s="0" t="s">
        <v>22</v>
      </c>
      <c r="X160" s="0" t="s">
        <v>607</v>
      </c>
    </row>
    <row r="161">
      <c r="A161" s="0" t="s">
        <v>529</v>
      </c>
      <c r="B161" s="0" t="s">
        <v>530</v>
      </c>
      <c r="C161" s="0" t="s">
        <v>608</v>
      </c>
      <c r="D161" s="0" t="s">
        <v>27</v>
      </c>
      <c r="E161" s="0" t="s">
        <v>28</v>
      </c>
      <c r="F161" s="0" t="s">
        <v>29</v>
      </c>
      <c r="G161" s="0" t="s">
        <v>522</v>
      </c>
      <c r="H161" s="0" t="s">
        <v>522</v>
      </c>
      <c r="I161" s="0" t="s">
        <v>609</v>
      </c>
      <c r="J161" s="0" t="s">
        <v>609</v>
      </c>
      <c r="K161" s="0" t="s">
        <v>610</v>
      </c>
      <c r="L161" s="0" t="s">
        <v>32</v>
      </c>
      <c r="M161" s="0" t="s">
        <v>61</v>
      </c>
      <c r="N161" s="0" t="s">
        <v>597</v>
      </c>
      <c r="O161" s="0" t="s">
        <v>110</v>
      </c>
      <c r="P161" s="0" t="s">
        <v>593</v>
      </c>
      <c r="Q161" s="0" t="s">
        <v>610</v>
      </c>
      <c r="R161" s="0" t="s">
        <v>608</v>
      </c>
      <c r="S161" s="0" t="s">
        <v>597</v>
      </c>
      <c r="T161" s="0">
        <f>HYPERLINK("https://storage.sslt.ae/ItemVariation/08DCD94B-638A-4EFC-849E-C354C2D87CF1/FBC5D1AB-DE3B-4125-9F07-E10B3546DB61.png","Variant Image")</f>
      </c>
      <c r="U161" s="0">
        <f>HYPERLINK("https://ec-qa-storage.kldlms.com/Item/08DCD94B-638A-4EFC-849E-C354C2D87CF1/39AB1531-C7E4-4340-A614-C448E03A6504.png","Thumbnail Image")</f>
      </c>
      <c r="V161" s="0">
        <f>HYPERLINK("https://ec-qa-storage.kldlms.com/ItemGallery/08DCD94B-638A-4EFC-849E-C354C2D87CF1/68E42A6D-F4E6-4BD1-B62E-7302EB4EE8AD.png","Gallery Image ")</f>
      </c>
      <c r="W161" s="0" t="s">
        <v>22</v>
      </c>
      <c r="X161" s="0" t="s">
        <v>611</v>
      </c>
    </row>
    <row r="162">
      <c r="A162" s="0" t="s">
        <v>612</v>
      </c>
      <c r="B162" s="0" t="s">
        <v>612</v>
      </c>
      <c r="C162" s="0" t="s">
        <v>613</v>
      </c>
      <c r="D162" s="0" t="s">
        <v>27</v>
      </c>
      <c r="E162" s="0" t="s">
        <v>614</v>
      </c>
      <c r="F162" s="0" t="s">
        <v>557</v>
      </c>
      <c r="G162" s="0" t="s">
        <v>612</v>
      </c>
      <c r="H162" s="0" t="s">
        <v>612</v>
      </c>
      <c r="I162" s="0" t="s">
        <v>615</v>
      </c>
      <c r="J162" s="0" t="s">
        <v>615</v>
      </c>
      <c r="K162" s="0" t="s">
        <v>616</v>
      </c>
      <c r="L162" s="0" t="s">
        <v>32</v>
      </c>
      <c r="M162" s="0" t="s">
        <v>33</v>
      </c>
      <c r="N162" s="0" t="s">
        <v>597</v>
      </c>
      <c r="O162" s="0" t="s">
        <v>35</v>
      </c>
      <c r="P162" s="0" t="s">
        <v>39</v>
      </c>
      <c r="Q162" s="0" t="s">
        <v>617</v>
      </c>
      <c r="R162" s="0" t="s">
        <v>618</v>
      </c>
      <c r="S162" s="0" t="s">
        <v>597</v>
      </c>
      <c r="T162" s="0">
        <f>HYPERLINK("https://storage.sslt.ae/ItemVariation/08DCD94C-4988-4871-8D04-4D38A100433B/751B183F-0D97-4242-82C3-0FCA66F570E5.png","Variant Image")</f>
      </c>
      <c r="U162" s="0">
        <f>HYPERLINK("https://ec-qa-storage.kldlms.com/Item/08DCD94C-4988-4871-8D04-4D38A100433B/779A1AB0-E97C-449B-8A0A-75C73847E2AB.jpg","Thumbnail Image")</f>
      </c>
      <c r="W162" s="0" t="s">
        <v>22</v>
      </c>
    </row>
    <row r="163">
      <c r="P163" s="0" t="s">
        <v>527</v>
      </c>
      <c r="Q163" s="0" t="s">
        <v>616</v>
      </c>
      <c r="R163" s="0" t="s">
        <v>618</v>
      </c>
      <c r="S163" s="0" t="s">
        <v>32</v>
      </c>
      <c r="T163" s="0">
        <f>HYPERLINK("https://storage.sslt.ae/ItemVariation/08DCD94C-4988-4871-8D04-4D38A100433B/FCF9A5B1-CC57-4B95-8D6D-4BA657186E6B.jpg","Variant Image")</f>
      </c>
    </row>
    <row r="164">
      <c r="A164" s="0" t="s">
        <v>529</v>
      </c>
      <c r="B164" s="0" t="s">
        <v>530</v>
      </c>
      <c r="C164" s="0" t="s">
        <v>619</v>
      </c>
      <c r="D164" s="0" t="s">
        <v>27</v>
      </c>
      <c r="E164" s="0" t="s">
        <v>28</v>
      </c>
      <c r="F164" s="0" t="s">
        <v>29</v>
      </c>
      <c r="G164" s="0" t="s">
        <v>316</v>
      </c>
      <c r="H164" s="0" t="s">
        <v>316</v>
      </c>
      <c r="I164" s="0" t="s">
        <v>620</v>
      </c>
      <c r="J164" s="0" t="s">
        <v>620</v>
      </c>
      <c r="K164" s="0" t="s">
        <v>151</v>
      </c>
      <c r="L164" s="0" t="s">
        <v>32</v>
      </c>
      <c r="M164" s="0" t="s">
        <v>61</v>
      </c>
      <c r="N164" s="0" t="s">
        <v>597</v>
      </c>
      <c r="O164" s="0" t="s">
        <v>110</v>
      </c>
      <c r="P164" s="0" t="s">
        <v>593</v>
      </c>
      <c r="Q164" s="0" t="s">
        <v>151</v>
      </c>
      <c r="R164" s="0" t="s">
        <v>619</v>
      </c>
      <c r="S164" s="0" t="s">
        <v>597</v>
      </c>
      <c r="T164" s="0">
        <f>HYPERLINK("https://storage.sslt.ae/ItemVariation/08DCD952-858B-4B1C-8F56-BD8048090FBF/EC7390E9-2315-44D1-8EBA-C24F1CBE0F5F.png","Variant Image")</f>
      </c>
      <c r="U164" s="0">
        <f>HYPERLINK("https://ec-qa-storage.kldlms.com/Item/08DCD952-858B-4B1C-8F56-BD8048090FBF/0C4D67DB-9A4D-4401-97D6-523EC7957E89.png","Thumbnail Image")</f>
      </c>
      <c r="V164" s="0">
        <f>HYPERLINK("https://ec-qa-storage.kldlms.com/ItemGallery/08DCD952-858B-4B1C-8F56-BD8048090FBF/602A45A1-8F39-4FC2-A879-5132E2144ABF.png","Gallery Image ")</f>
      </c>
      <c r="W164" s="0" t="s">
        <v>22</v>
      </c>
      <c r="X164" s="0" t="s">
        <v>621</v>
      </c>
    </row>
    <row r="165">
      <c r="A165" s="0" t="s">
        <v>529</v>
      </c>
      <c r="B165" s="0" t="s">
        <v>530</v>
      </c>
      <c r="C165" s="0" t="s">
        <v>622</v>
      </c>
      <c r="D165" s="0" t="s">
        <v>27</v>
      </c>
      <c r="E165" s="0" t="s">
        <v>28</v>
      </c>
      <c r="F165" s="0" t="s">
        <v>29</v>
      </c>
      <c r="G165" s="0" t="s">
        <v>587</v>
      </c>
      <c r="H165" s="0" t="s">
        <v>587</v>
      </c>
      <c r="I165" s="0" t="s">
        <v>623</v>
      </c>
      <c r="J165" s="0" t="s">
        <v>623</v>
      </c>
      <c r="K165" s="0" t="s">
        <v>151</v>
      </c>
      <c r="L165" s="0" t="s">
        <v>32</v>
      </c>
      <c r="M165" s="0" t="s">
        <v>61</v>
      </c>
      <c r="N165" s="0" t="s">
        <v>597</v>
      </c>
      <c r="O165" s="0" t="s">
        <v>110</v>
      </c>
      <c r="P165" s="0" t="s">
        <v>593</v>
      </c>
      <c r="Q165" s="0" t="s">
        <v>151</v>
      </c>
      <c r="R165" s="0" t="s">
        <v>622</v>
      </c>
      <c r="S165" s="0" t="s">
        <v>597</v>
      </c>
      <c r="T165" s="0">
        <f>HYPERLINK("https://storage.sslt.ae/ItemVariation/08DCD967-4FA9-4081-8EFE-7FF4A1818E8E/A00AA411-D85C-4B75-9E9D-1987BAEC985B.png","Variant Image")</f>
      </c>
      <c r="U165" s="0">
        <f>HYPERLINK("https://ec-qa-storage.kldlms.com/Item/08DCD967-4FA9-4081-8EFE-7FF4A1818E8E/B69650BF-3CEB-4D05-9378-33D3ADE1A860.png","Thumbnail Image")</f>
      </c>
      <c r="V165" s="0">
        <f>HYPERLINK("https://ec-qa-storage.kldlms.com/ItemGallery/08DCD967-4FA9-4081-8EFE-7FF4A1818E8E/300E606D-01A2-4112-A3AE-5AD8E930F3CF.png","Gallery Image ")</f>
      </c>
      <c r="W165" s="0" t="s">
        <v>22</v>
      </c>
      <c r="X165" s="0" t="s">
        <v>624</v>
      </c>
    </row>
    <row r="166">
      <c r="A166" s="0" t="s">
        <v>529</v>
      </c>
      <c r="B166" s="0" t="s">
        <v>530</v>
      </c>
      <c r="C166" s="0" t="s">
        <v>625</v>
      </c>
      <c r="D166" s="0" t="s">
        <v>27</v>
      </c>
      <c r="E166" s="0" t="s">
        <v>28</v>
      </c>
      <c r="F166" s="0" t="s">
        <v>29</v>
      </c>
      <c r="G166" s="0" t="s">
        <v>522</v>
      </c>
      <c r="H166" s="0" t="s">
        <v>522</v>
      </c>
      <c r="I166" s="0" t="s">
        <v>626</v>
      </c>
      <c r="J166" s="0" t="s">
        <v>626</v>
      </c>
      <c r="K166" s="0" t="s">
        <v>627</v>
      </c>
      <c r="L166" s="0" t="s">
        <v>32</v>
      </c>
      <c r="M166" s="0" t="s">
        <v>61</v>
      </c>
      <c r="N166" s="0" t="s">
        <v>269</v>
      </c>
      <c r="O166" s="0" t="s">
        <v>110</v>
      </c>
      <c r="P166" s="0" t="s">
        <v>527</v>
      </c>
      <c r="Q166" s="0" t="s">
        <v>627</v>
      </c>
      <c r="R166" s="0" t="s">
        <v>625</v>
      </c>
      <c r="S166" s="0" t="s">
        <v>269</v>
      </c>
      <c r="T166" s="0">
        <f>HYPERLINK("https://storage.sslt.ae/ItemVariation/08DCD969-5828-443B-899D-6E76E065D94A/65DF94D8-284B-465B-8131-AEB8C1F3BAE8.png","Variant Image")</f>
      </c>
      <c r="U166" s="0">
        <f>HYPERLINK("https://ec-qa-storage.kldlms.com/Item/08DCD969-5828-443B-899D-6E76E065D94A/5846B7F7-6EF4-43E5-A242-225E1586CAD8.png","Thumbnail Image")</f>
      </c>
      <c r="V166" s="0">
        <f>HYPERLINK("https://ec-qa-storage.kldlms.com/ItemGallery/08DCD969-5828-443B-899D-6E76E065D94A/55A9ED8A-6E1D-4583-ADDC-F242357D0061.png","Gallery Image ")</f>
      </c>
      <c r="W166" s="0" t="s">
        <v>22</v>
      </c>
      <c r="X166" s="0" t="s">
        <v>628</v>
      </c>
    </row>
    <row r="167">
      <c r="A167" s="0" t="s">
        <v>629</v>
      </c>
      <c r="B167" s="0" t="s">
        <v>48</v>
      </c>
      <c r="C167" s="0" t="s">
        <v>630</v>
      </c>
      <c r="D167" s="0" t="s">
        <v>631</v>
      </c>
      <c r="E167" s="0" t="s">
        <v>632</v>
      </c>
      <c r="F167" s="0" t="s">
        <v>29</v>
      </c>
      <c r="G167" s="0" t="s">
        <v>633</v>
      </c>
      <c r="H167" s="0" t="s">
        <v>48</v>
      </c>
      <c r="I167" s="0" t="s">
        <v>634</v>
      </c>
      <c r="J167" s="0" t="s">
        <v>635</v>
      </c>
      <c r="K167" s="0" t="s">
        <v>636</v>
      </c>
      <c r="L167" s="0" t="s">
        <v>637</v>
      </c>
      <c r="M167" s="0" t="s">
        <v>61</v>
      </c>
      <c r="N167" s="0" t="s">
        <v>202</v>
      </c>
      <c r="O167" s="0" t="s">
        <v>35</v>
      </c>
      <c r="P167" s="0" t="s">
        <v>527</v>
      </c>
      <c r="Q167" s="0" t="s">
        <v>638</v>
      </c>
      <c r="R167" s="0" t="s">
        <v>630</v>
      </c>
      <c r="S167" s="0" t="s">
        <v>202</v>
      </c>
      <c r="T167" s="0">
        <f>HYPERLINK("https://ec-qa-storage.kldlms.com/ItemVariation/08DCDBA7-B02C-4617-8CAB-BECBF2B81AAB/8445D63B-E0D9-49AA-BD85-84BE75B7BB39.webp","Variant Image")</f>
      </c>
      <c r="U167" s="0">
        <f>HYPERLINK("https://ec-qa-storage.kldlms.com/Item/08DCDBA7-B02C-4617-8CAB-BECBF2B81AAB/98E622E4-623E-4281-BA91-721769F42E66.png","Thumbnail Image")</f>
      </c>
      <c r="V167" s="0">
        <f>HYPERLINK("https://ec-qa-storage.kldlms.com/ItemGallery/08DCDBA7-B02C-4617-8CAB-BECBF2B81AAB/2F1E6694-361A-4CF7-92E7-B6378CA75C6C.png","Gallery Image ")</f>
      </c>
      <c r="W167" s="0" t="s">
        <v>22</v>
      </c>
      <c r="X167" s="0" t="s">
        <v>639</v>
      </c>
    </row>
    <row r="168">
      <c r="P168" s="0" t="s">
        <v>327</v>
      </c>
      <c r="Q168" s="0" t="s">
        <v>168</v>
      </c>
      <c r="R168" s="0" t="s">
        <v>640</v>
      </c>
      <c r="S168" s="0" t="s">
        <v>100</v>
      </c>
      <c r="T168" s="0">
        <f>HYPERLINK("https://storage.sslt.ae/ItemVariation/08DCDBA7-B02C-4617-8CAB-BECBF2B81AAB/20305784-C38C-44D1-9AB8-9F1F94504757.png","Variant Image")</f>
      </c>
      <c r="X168" s="0" t="s">
        <v>641</v>
      </c>
    </row>
    <row r="169">
      <c r="P169" s="0" t="s">
        <v>39</v>
      </c>
      <c r="Q169" s="0" t="s">
        <v>636</v>
      </c>
      <c r="R169" s="0" t="s">
        <v>630</v>
      </c>
      <c r="S169" s="0" t="s">
        <v>32</v>
      </c>
      <c r="T169" s="0">
        <f>HYPERLINK("https://storage.sslt.ae/ItemVariation/08DCDBA7-B02C-4617-8CAB-BECBF2B81AAB/1972C94F-B2AD-4AC7-84A0-815420030479.png","Variant Image")</f>
      </c>
      <c r="X169" s="0" t="s">
        <v>639</v>
      </c>
    </row>
    <row r="170">
      <c r="A170" s="0" t="s">
        <v>642</v>
      </c>
      <c r="B170" s="0" t="s">
        <v>642</v>
      </c>
      <c r="C170" s="0" t="s">
        <v>643</v>
      </c>
      <c r="D170" s="0" t="s">
        <v>27</v>
      </c>
      <c r="E170" s="0" t="s">
        <v>28</v>
      </c>
      <c r="F170" s="0" t="s">
        <v>29</v>
      </c>
      <c r="G170" s="0" t="s">
        <v>644</v>
      </c>
      <c r="H170" s="0" t="s">
        <v>644</v>
      </c>
      <c r="I170" s="0" t="s">
        <v>645</v>
      </c>
      <c r="J170" s="0" t="s">
        <v>645</v>
      </c>
      <c r="K170" s="0" t="s">
        <v>646</v>
      </c>
      <c r="L170" s="0" t="s">
        <v>32</v>
      </c>
      <c r="M170" s="0" t="s">
        <v>61</v>
      </c>
      <c r="N170" s="0" t="s">
        <v>647</v>
      </c>
      <c r="O170" s="0" t="s">
        <v>110</v>
      </c>
      <c r="P170" s="0" t="s">
        <v>527</v>
      </c>
      <c r="Q170" s="0" t="s">
        <v>646</v>
      </c>
      <c r="R170" s="0" t="s">
        <v>643</v>
      </c>
      <c r="S170" s="0" t="s">
        <v>647</v>
      </c>
      <c r="T170" s="0">
        <f>HYPERLINK("https://storage.sslt.ae/ItemVariation/08DCDBC1-C478-47F6-8D2E-992858BB3879/5FFE291A-B67E-4E22-90CF-D99144E486E8.png","Variant Image")</f>
      </c>
      <c r="U170" s="0">
        <f>HYPERLINK("https://ec-qa-storage.kldlms.com/Item/08DCDBC1-C478-47F6-8D2E-992858BB3879/C6D2C743-3A29-4959-92AB-EEE12CE12AEA.png","Thumbnail Image")</f>
      </c>
      <c r="V170" s="0">
        <f>HYPERLINK("https://ec-qa-storage.kldlms.com/ItemGallery/08DCDBC1-C478-47F6-8D2E-992858BB3879/DCFF6054-9EC9-4ACC-B5AC-5E9D7CC248AA.png","Gallery Image ")</f>
      </c>
      <c r="W170" s="0" t="s">
        <v>22</v>
      </c>
      <c r="X170" s="0" t="s">
        <v>648</v>
      </c>
    </row>
    <row r="171">
      <c r="A171" s="0" t="s">
        <v>642</v>
      </c>
      <c r="B171" s="0" t="s">
        <v>642</v>
      </c>
      <c r="C171" s="0" t="s">
        <v>649</v>
      </c>
      <c r="D171" s="0" t="s">
        <v>27</v>
      </c>
      <c r="E171" s="0" t="s">
        <v>28</v>
      </c>
      <c r="F171" s="0" t="s">
        <v>29</v>
      </c>
      <c r="G171" s="0" t="s">
        <v>650</v>
      </c>
      <c r="H171" s="0" t="s">
        <v>650</v>
      </c>
      <c r="I171" s="0" t="s">
        <v>651</v>
      </c>
      <c r="J171" s="0" t="s">
        <v>652</v>
      </c>
      <c r="K171" s="0" t="s">
        <v>653</v>
      </c>
      <c r="L171" s="0" t="s">
        <v>32</v>
      </c>
      <c r="M171" s="0" t="s">
        <v>61</v>
      </c>
      <c r="N171" s="0" t="s">
        <v>223</v>
      </c>
      <c r="O171" s="0" t="s">
        <v>110</v>
      </c>
      <c r="P171" s="0" t="s">
        <v>527</v>
      </c>
      <c r="Q171" s="0" t="s">
        <v>653</v>
      </c>
      <c r="R171" s="0" t="s">
        <v>649</v>
      </c>
      <c r="S171" s="0" t="s">
        <v>223</v>
      </c>
      <c r="T171" s="0">
        <f>HYPERLINK("https://storage.sslt.ae/ItemVariation/08DCDBC3-74C7-45EA-83DE-32A6DEE476B2/43E38831-A963-4CB6-B0B6-E41A369D0481.png","Variant Image")</f>
      </c>
      <c r="U171" s="0">
        <f>HYPERLINK("https://ec-qa-storage.kldlms.com/Item/08DCDBC3-74C7-45EA-83DE-32A6DEE476B2/EEACBA17-7D5D-45EE-9402-E096C682F641.png","Thumbnail Image")</f>
      </c>
      <c r="V171" s="0">
        <f>HYPERLINK("https://ec-qa-storage.kldlms.com/ItemGallery/08DCDBC3-74C7-45EA-83DE-32A6DEE476B2/1CCC793C-4AE8-4340-9FA6-05C74A67570F.png","Gallery Image ")</f>
      </c>
      <c r="W171" s="0" t="s">
        <v>22</v>
      </c>
      <c r="X171" s="0" t="s">
        <v>654</v>
      </c>
    </row>
    <row r="172">
      <c r="A172" s="0" t="s">
        <v>642</v>
      </c>
      <c r="B172" s="0" t="s">
        <v>642</v>
      </c>
      <c r="C172" s="0" t="s">
        <v>655</v>
      </c>
      <c r="D172" s="0" t="s">
        <v>27</v>
      </c>
      <c r="E172" s="0" t="s">
        <v>28</v>
      </c>
      <c r="F172" s="0" t="s">
        <v>29</v>
      </c>
      <c r="G172" s="0" t="s">
        <v>656</v>
      </c>
      <c r="H172" s="0" t="s">
        <v>656</v>
      </c>
      <c r="I172" s="0" t="s">
        <v>657</v>
      </c>
      <c r="J172" s="0" t="s">
        <v>657</v>
      </c>
      <c r="K172" s="0" t="s">
        <v>457</v>
      </c>
      <c r="L172" s="0" t="s">
        <v>32</v>
      </c>
      <c r="M172" s="0" t="s">
        <v>61</v>
      </c>
      <c r="N172" s="0" t="s">
        <v>658</v>
      </c>
      <c r="O172" s="0" t="s">
        <v>110</v>
      </c>
      <c r="P172" s="0" t="s">
        <v>527</v>
      </c>
      <c r="Q172" s="0" t="s">
        <v>457</v>
      </c>
      <c r="R172" s="0" t="s">
        <v>655</v>
      </c>
      <c r="S172" s="0" t="s">
        <v>658</v>
      </c>
      <c r="T172" s="0">
        <f>HYPERLINK("https://storage.sslt.ae/ItemVariation/08DCDBC4-A9D4-42B6-83DE-312BAF2969AD/C913AC1E-E29B-4C84-87A0-96D156D14D1C.png","Variant Image")</f>
      </c>
      <c r="U172" s="0">
        <f>HYPERLINK("https://ec-qa-storage.kldlms.com/Item/08DCDBC4-A9D4-42B6-83DE-312BAF2969AD/C70538EF-482A-4A35-B35F-F1A02C882A50.png","Thumbnail Image")</f>
      </c>
      <c r="V172" s="0">
        <f>HYPERLINK("https://ec-qa-storage.kldlms.com/ItemGallery/08DCDBC4-A9D4-42B6-83DE-312BAF2969AD/05391BCD-305A-4B27-9A4A-D7790F563D76.png","Gallery Image ")</f>
      </c>
      <c r="W172" s="0" t="s">
        <v>22</v>
      </c>
      <c r="X172" s="0" t="s">
        <v>659</v>
      </c>
    </row>
    <row r="173">
      <c r="A173" s="0" t="s">
        <v>642</v>
      </c>
      <c r="B173" s="0" t="s">
        <v>642</v>
      </c>
      <c r="C173" s="0" t="s">
        <v>660</v>
      </c>
      <c r="D173" s="0" t="s">
        <v>27</v>
      </c>
      <c r="E173" s="0" t="s">
        <v>28</v>
      </c>
      <c r="F173" s="0" t="s">
        <v>29</v>
      </c>
      <c r="G173" s="0" t="s">
        <v>661</v>
      </c>
      <c r="H173" s="0" t="s">
        <v>661</v>
      </c>
      <c r="I173" s="0" t="s">
        <v>662</v>
      </c>
      <c r="J173" s="0" t="s">
        <v>662</v>
      </c>
      <c r="K173" s="0" t="s">
        <v>402</v>
      </c>
      <c r="L173" s="0" t="s">
        <v>32</v>
      </c>
      <c r="M173" s="0" t="s">
        <v>61</v>
      </c>
      <c r="N173" s="0" t="s">
        <v>223</v>
      </c>
      <c r="O173" s="0" t="s">
        <v>110</v>
      </c>
      <c r="P173" s="0" t="s">
        <v>527</v>
      </c>
      <c r="Q173" s="0" t="s">
        <v>402</v>
      </c>
      <c r="R173" s="0" t="s">
        <v>660</v>
      </c>
      <c r="S173" s="0" t="s">
        <v>223</v>
      </c>
      <c r="T173" s="0">
        <f>HYPERLINK("https://storage.sslt.ae/ItemVariation/08DCDBC6-69B5-44A0-8ED8-FAC74AC3587C/2DD24589-2398-4023-B82C-5940062B0D96.png","Variant Image")</f>
      </c>
      <c r="U173" s="0">
        <f>HYPERLINK("https://ec-qa-storage.kldlms.com/Item/08DCDBC6-69B5-44A0-8ED8-FAC74AC3587C/6CC556DE-89FA-471E-BE9C-0652942EEF7B.png","Thumbnail Image")</f>
      </c>
      <c r="V173" s="0">
        <f>HYPERLINK("https://ec-qa-storage.kldlms.com/ItemGallery/08DCDBC6-69B5-44A0-8ED8-FAC74AC3587C/9D29D82E-C0CA-491F-8E47-0F1B7B19C55A.png","Gallery Image ")</f>
      </c>
      <c r="W173" s="0" t="s">
        <v>22</v>
      </c>
      <c r="X173" s="0" t="s">
        <v>663</v>
      </c>
    </row>
    <row r="174">
      <c r="A174" s="0" t="s">
        <v>642</v>
      </c>
      <c r="B174" s="0" t="s">
        <v>642</v>
      </c>
      <c r="C174" s="0" t="s">
        <v>664</v>
      </c>
      <c r="D174" s="0" t="s">
        <v>27</v>
      </c>
      <c r="E174" s="0" t="s">
        <v>28</v>
      </c>
      <c r="F174" s="0" t="s">
        <v>29</v>
      </c>
      <c r="G174" s="0" t="s">
        <v>665</v>
      </c>
      <c r="H174" s="0" t="s">
        <v>665</v>
      </c>
      <c r="I174" s="0" t="s">
        <v>666</v>
      </c>
      <c r="J174" s="0" t="s">
        <v>666</v>
      </c>
      <c r="K174" s="0" t="s">
        <v>667</v>
      </c>
      <c r="L174" s="0" t="s">
        <v>32</v>
      </c>
      <c r="M174" s="0" t="s">
        <v>61</v>
      </c>
      <c r="N174" s="0" t="s">
        <v>164</v>
      </c>
      <c r="O174" s="0" t="s">
        <v>110</v>
      </c>
      <c r="P174" s="0" t="s">
        <v>527</v>
      </c>
      <c r="Q174" s="0" t="s">
        <v>667</v>
      </c>
      <c r="R174" s="0" t="s">
        <v>664</v>
      </c>
      <c r="S174" s="0" t="s">
        <v>164</v>
      </c>
      <c r="T174" s="0">
        <f>HYPERLINK("https://storage.sslt.ae/ItemVariation/08DCDBC7-7B2F-4E32-8DCD-57FFDA9404B9/6A83148A-F457-4079-9B91-A97D1E8372FE.png","Variant Image")</f>
      </c>
      <c r="U174" s="0">
        <f>HYPERLINK("https://ec-qa-storage.kldlms.com/Item/08DCDBC7-7B2F-4E32-8DCD-57FFDA9404B9/E8ACE0DE-CD23-4885-8042-38F3C1F3D3A0.png","Thumbnail Image")</f>
      </c>
      <c r="V174" s="0">
        <f>HYPERLINK("https://ec-qa-storage.kldlms.com/ItemGallery/08DCDBC7-7B2F-4E32-8DCD-57FFDA9404B9/58927E11-BB34-4013-ADEC-C81BB13BB8E5.png","Gallery Image ")</f>
      </c>
      <c r="W174" s="0" t="s">
        <v>22</v>
      </c>
      <c r="X174" s="0" t="s">
        <v>668</v>
      </c>
    </row>
    <row r="175">
      <c r="A175" s="0" t="s">
        <v>642</v>
      </c>
      <c r="B175" s="0" t="s">
        <v>642</v>
      </c>
      <c r="C175" s="0" t="s">
        <v>669</v>
      </c>
      <c r="D175" s="0" t="s">
        <v>27</v>
      </c>
      <c r="E175" s="0" t="s">
        <v>28</v>
      </c>
      <c r="F175" s="0" t="s">
        <v>29</v>
      </c>
      <c r="G175" s="0" t="s">
        <v>670</v>
      </c>
      <c r="H175" s="0" t="s">
        <v>670</v>
      </c>
      <c r="I175" s="0" t="s">
        <v>671</v>
      </c>
      <c r="J175" s="0" t="s">
        <v>672</v>
      </c>
      <c r="K175" s="0" t="s">
        <v>673</v>
      </c>
      <c r="L175" s="0" t="s">
        <v>32</v>
      </c>
      <c r="M175" s="0" t="s">
        <v>61</v>
      </c>
      <c r="N175" s="0" t="s">
        <v>674</v>
      </c>
      <c r="O175" s="0" t="s">
        <v>110</v>
      </c>
      <c r="P175" s="0" t="s">
        <v>527</v>
      </c>
      <c r="Q175" s="0" t="s">
        <v>673</v>
      </c>
      <c r="R175" s="0" t="s">
        <v>669</v>
      </c>
      <c r="S175" s="0" t="s">
        <v>674</v>
      </c>
      <c r="T175" s="0">
        <f>HYPERLINK("https://storage.sslt.ae/ItemVariation/08DCDBC9-2A65-4478-89A0-DAD6C6B10132/02659BF5-67C4-46B7-8DCC-44FF03976967.png","Variant Image")</f>
      </c>
      <c r="U175" s="0">
        <f>HYPERLINK("https://ec-qa-storage.kldlms.com/Item/08DCDBC9-2A65-4478-89A0-DAD6C6B10132/11BED81D-AE99-415D-A82B-3B5DFB0F7643.png","Thumbnail Image")</f>
      </c>
      <c r="V175" s="0">
        <f>HYPERLINK("https://ec-qa-storage.kldlms.com/ItemGallery/08DCDBC9-2A65-4478-89A0-DAD6C6B10132/28245028-C687-4D2B-9BF8-06C3E9CC3C36.png","Gallery Image ")</f>
      </c>
      <c r="W175" s="0" t="s">
        <v>22</v>
      </c>
      <c r="X175" s="0" t="s">
        <v>675</v>
      </c>
    </row>
    <row r="176">
      <c r="A176" s="0" t="s">
        <v>642</v>
      </c>
      <c r="B176" s="0" t="s">
        <v>642</v>
      </c>
      <c r="C176" s="0" t="s">
        <v>676</v>
      </c>
      <c r="D176" s="0" t="s">
        <v>27</v>
      </c>
      <c r="E176" s="0" t="s">
        <v>28</v>
      </c>
      <c r="F176" s="0" t="s">
        <v>29</v>
      </c>
      <c r="G176" s="0" t="s">
        <v>677</v>
      </c>
      <c r="H176" s="0" t="s">
        <v>670</v>
      </c>
      <c r="I176" s="0" t="s">
        <v>678</v>
      </c>
      <c r="J176" s="0" t="s">
        <v>678</v>
      </c>
      <c r="K176" s="0" t="s">
        <v>679</v>
      </c>
      <c r="L176" s="0" t="s">
        <v>32</v>
      </c>
      <c r="M176" s="0" t="s">
        <v>61</v>
      </c>
      <c r="N176" s="0" t="s">
        <v>680</v>
      </c>
      <c r="O176" s="0" t="s">
        <v>110</v>
      </c>
      <c r="P176" s="0" t="s">
        <v>527</v>
      </c>
      <c r="Q176" s="0" t="s">
        <v>679</v>
      </c>
      <c r="R176" s="0" t="s">
        <v>676</v>
      </c>
      <c r="S176" s="0" t="s">
        <v>680</v>
      </c>
      <c r="T176" s="0">
        <f>HYPERLINK("https://storage.sslt.ae/ItemVariation/08DCDBCA-9E28-46F0-8D24-FD98145A9432/FE8974AC-3CC4-4D73-ACF6-1AC7048C9D6C.png","Variant Image")</f>
      </c>
      <c r="U176" s="0">
        <f>HYPERLINK("https://ec-qa-storage.kldlms.com/Item/08DCDBCA-9E28-46F0-8D24-FD98145A9432/90DEF65B-CF59-4747-8645-7DEF21769252.png","Thumbnail Image")</f>
      </c>
      <c r="V176" s="0">
        <f>HYPERLINK("https://ec-qa-storage.kldlms.com/ItemGallery/08DCDBCA-9E28-46F0-8D24-FD98145A9432/12E5F871-8F0D-4C4B-8B3E-54FA08265254.png","Gallery Image ")</f>
      </c>
      <c r="W176" s="0" t="s">
        <v>22</v>
      </c>
      <c r="X176" s="0" t="s">
        <v>681</v>
      </c>
    </row>
    <row r="177">
      <c r="A177" s="0" t="s">
        <v>682</v>
      </c>
      <c r="B177" s="0" t="s">
        <v>682</v>
      </c>
      <c r="C177" s="0" t="s">
        <v>683</v>
      </c>
      <c r="D177" s="0" t="s">
        <v>684</v>
      </c>
      <c r="E177" s="0" t="s">
        <v>685</v>
      </c>
      <c r="F177" s="0" t="s">
        <v>29</v>
      </c>
      <c r="G177" s="0" t="s">
        <v>686</v>
      </c>
      <c r="H177" s="0" t="s">
        <v>686</v>
      </c>
      <c r="I177" s="0" t="s">
        <v>687</v>
      </c>
      <c r="J177" s="0" t="s">
        <v>687</v>
      </c>
      <c r="K177" s="0" t="s">
        <v>688</v>
      </c>
      <c r="L177" s="0" t="s">
        <v>32</v>
      </c>
      <c r="M177" s="0" t="s">
        <v>61</v>
      </c>
      <c r="N177" s="0" t="s">
        <v>164</v>
      </c>
      <c r="O177" s="0" t="s">
        <v>110</v>
      </c>
      <c r="P177" s="0" t="s">
        <v>689</v>
      </c>
      <c r="Q177" s="0" t="s">
        <v>690</v>
      </c>
      <c r="R177" s="0" t="s">
        <v>691</v>
      </c>
      <c r="S177" s="0" t="s">
        <v>349</v>
      </c>
      <c r="T177" s="0">
        <f>HYPERLINK("https://storage.sslt.ae/ItemVariation/08DCDC6D-E355-48B3-8487-AF80660FB37A/FA59CA23-C113-42DA-8F31-F00AA4AD1935.png","Variant Image")</f>
      </c>
      <c r="U177" s="0">
        <f>HYPERLINK("https://ec-qa-storage.kldlms.com/Item/08DCDC6D-E355-48B3-8487-AF80660FB37A/00BEA7FA-0F28-45AC-AB5B-0299B6519450.png","Thumbnail Image")</f>
      </c>
      <c r="V177" s="0">
        <f>HYPERLINK("https://ec-qa-storage.kldlms.com/ItemGallery/08DCDC6D-E355-48B3-8487-AF80660FB37A/58C7228E-55CD-45BD-99D4-FBF230196861.png","Gallery Image ")</f>
      </c>
      <c r="W177" s="0" t="s">
        <v>22</v>
      </c>
      <c r="X177" s="0" t="s">
        <v>692</v>
      </c>
    </row>
    <row r="178">
      <c r="P178" s="0" t="s">
        <v>693</v>
      </c>
      <c r="Q178" s="0" t="s">
        <v>694</v>
      </c>
      <c r="R178" s="0" t="s">
        <v>695</v>
      </c>
      <c r="S178" s="0" t="s">
        <v>164</v>
      </c>
      <c r="T178" s="0">
        <f>HYPERLINK("https://storage.sslt.ae/ItemVariation/08DCDC6D-E355-48B3-8487-AF80660FB37A/B73AE93A-E58F-415D-9F2F-86ED4E11E016.png","Variant Image")</f>
      </c>
      <c r="X178" s="0" t="s">
        <v>696</v>
      </c>
    </row>
    <row r="179">
      <c r="P179" s="0" t="s">
        <v>590</v>
      </c>
      <c r="Q179" s="0" t="s">
        <v>688</v>
      </c>
      <c r="R179" s="0" t="s">
        <v>683</v>
      </c>
      <c r="S179" s="0" t="s">
        <v>164</v>
      </c>
      <c r="T179" s="0">
        <f>HYPERLINK("https://storage.sslt.ae/ItemVariation/08DCDC6D-E355-48B3-8487-AF80660FB37A/A8AC51F0-2B70-4975-82E7-A1808B4B84C6.png","Variant Image")</f>
      </c>
      <c r="X179" s="0" t="s">
        <v>697</v>
      </c>
    </row>
    <row r="180">
      <c r="A180" s="0" t="s">
        <v>682</v>
      </c>
      <c r="B180" s="0" t="s">
        <v>682</v>
      </c>
      <c r="C180" s="0" t="s">
        <v>698</v>
      </c>
      <c r="D180" s="0" t="s">
        <v>684</v>
      </c>
      <c r="E180" s="0" t="s">
        <v>685</v>
      </c>
      <c r="F180" s="0" t="s">
        <v>29</v>
      </c>
      <c r="G180" s="0" t="s">
        <v>699</v>
      </c>
      <c r="H180" s="0" t="s">
        <v>699</v>
      </c>
      <c r="I180" s="0" t="s">
        <v>700</v>
      </c>
      <c r="J180" s="0" t="s">
        <v>700</v>
      </c>
      <c r="K180" s="0" t="s">
        <v>701</v>
      </c>
      <c r="L180" s="0" t="s">
        <v>32</v>
      </c>
      <c r="M180" s="0" t="s">
        <v>61</v>
      </c>
      <c r="N180" s="0" t="s">
        <v>140</v>
      </c>
      <c r="O180" s="0" t="s">
        <v>110</v>
      </c>
      <c r="P180" s="0" t="s">
        <v>689</v>
      </c>
      <c r="Q180" s="0" t="s">
        <v>701</v>
      </c>
      <c r="R180" s="0" t="s">
        <v>698</v>
      </c>
      <c r="S180" s="0" t="s">
        <v>140</v>
      </c>
      <c r="T180" s="0">
        <f>HYPERLINK("https://storage.sslt.ae/ItemVariation/08DCDC71-F977-4997-8397-97F6398B4AE4/3AF1C80C-AD43-48BF-BE2B-CC4808D653CE.png","Variant Image")</f>
      </c>
      <c r="U180" s="0">
        <f>HYPERLINK("https://ec-qa-storage.kldlms.com/Item/08DCDC71-F977-4997-8397-97F6398B4AE4/1B90C8BD-2197-4B8D-8AF8-4A935683C57B.png","Thumbnail Image")</f>
      </c>
      <c r="V180" s="0">
        <f>HYPERLINK("https://ec-qa-storage.kldlms.com/ItemGallery/08DCDC71-F977-4997-8397-97F6398B4AE4/EF78A8BF-7C77-4906-914B-A7CB9AEB1CF4.png","Gallery Image ")</f>
      </c>
      <c r="W180" s="0" t="s">
        <v>22</v>
      </c>
      <c r="X180" s="0" t="s">
        <v>702</v>
      </c>
    </row>
    <row r="181">
      <c r="P181" s="0" t="s">
        <v>703</v>
      </c>
      <c r="Q181" s="0" t="s">
        <v>151</v>
      </c>
      <c r="R181" s="0" t="s">
        <v>704</v>
      </c>
      <c r="S181" s="0" t="s">
        <v>205</v>
      </c>
      <c r="T181" s="0">
        <f>HYPERLINK("https://storage.sslt.ae/ItemVariation/08DCDC71-F977-4997-8397-97F6398B4AE4/9ECF7A40-C90A-4450-97ED-256D2C60C90F.webp","Variant Image")</f>
      </c>
      <c r="X181" s="0" t="s">
        <v>705</v>
      </c>
    </row>
    <row r="182">
      <c r="P182" s="0" t="s">
        <v>693</v>
      </c>
      <c r="Q182" s="0" t="s">
        <v>706</v>
      </c>
      <c r="R182" s="0" t="s">
        <v>707</v>
      </c>
      <c r="S182" s="0" t="s">
        <v>254</v>
      </c>
      <c r="T182" s="0">
        <f>HYPERLINK("https://storage.sslt.ae/ItemVariation/08DCDC71-F977-4997-8397-97F6398B4AE4/6A290455-8581-49F9-A1B1-68A48E29E2C6.png","Variant Image")</f>
      </c>
      <c r="X182" s="0" t="s">
        <v>708</v>
      </c>
    </row>
    <row r="183">
      <c r="P183" s="0" t="s">
        <v>590</v>
      </c>
      <c r="Q183" s="0" t="s">
        <v>709</v>
      </c>
      <c r="R183" s="0" t="s">
        <v>710</v>
      </c>
      <c r="S183" s="0" t="s">
        <v>109</v>
      </c>
      <c r="T183" s="0">
        <f>HYPERLINK("https://storage.sslt.ae/ItemVariation/08DCDC71-F977-4997-8397-97F6398B4AE4/A85A5CDD-CAC1-4D97-A32E-F2BE9ADD7664.png","Variant Image")</f>
      </c>
      <c r="X183" s="0" t="s">
        <v>711</v>
      </c>
    </row>
    <row r="184">
      <c r="A184" s="0" t="s">
        <v>682</v>
      </c>
      <c r="B184" s="0" t="s">
        <v>682</v>
      </c>
      <c r="C184" s="0" t="s">
        <v>712</v>
      </c>
      <c r="D184" s="0" t="s">
        <v>684</v>
      </c>
      <c r="E184" s="0" t="s">
        <v>28</v>
      </c>
      <c r="F184" s="0" t="s">
        <v>29</v>
      </c>
      <c r="G184" s="0" t="s">
        <v>713</v>
      </c>
      <c r="H184" s="0" t="s">
        <v>713</v>
      </c>
      <c r="I184" s="0" t="s">
        <v>714</v>
      </c>
      <c r="J184" s="0" t="s">
        <v>715</v>
      </c>
      <c r="K184" s="0" t="s">
        <v>526</v>
      </c>
      <c r="L184" s="0" t="s">
        <v>32</v>
      </c>
      <c r="M184" s="0" t="s">
        <v>61</v>
      </c>
      <c r="N184" s="0" t="s">
        <v>142</v>
      </c>
      <c r="O184" s="0" t="s">
        <v>110</v>
      </c>
      <c r="P184" s="0" t="s">
        <v>689</v>
      </c>
      <c r="Q184" s="0" t="s">
        <v>526</v>
      </c>
      <c r="R184" s="0" t="s">
        <v>712</v>
      </c>
      <c r="S184" s="0" t="s">
        <v>142</v>
      </c>
      <c r="T184" s="0">
        <f>HYPERLINK("https://storage.sslt.ae/ItemVariation/08DCDC77-36A6-4D66-8A47-D8D80CF750CB/9D587309-D6BA-4E9C-A021-A11F9CF358F8.png","Variant Image")</f>
      </c>
      <c r="U184" s="0">
        <f>HYPERLINK("https://ec-qa-storage.kldlms.com/Item/08DCDC77-36A6-4D66-8A47-D8D80CF750CB/017912B7-3676-4420-9FF5-589C5A000459.png","Thumbnail Image")</f>
      </c>
      <c r="V184" s="0">
        <f>HYPERLINK("https://ec-qa-storage.kldlms.com/ItemGallery/08DCDC77-36A6-4D66-8A47-D8D80CF750CB/7FF2621D-B982-4273-8EE4-BE5988521344.png","Gallery Image ")</f>
      </c>
      <c r="W184" s="0" t="s">
        <v>22</v>
      </c>
      <c r="X184" s="0" t="s">
        <v>716</v>
      </c>
    </row>
    <row r="185">
      <c r="P185" s="0" t="s">
        <v>703</v>
      </c>
      <c r="Q185" s="0" t="s">
        <v>526</v>
      </c>
      <c r="R185" s="0" t="s">
        <v>717</v>
      </c>
      <c r="S185" s="0" t="s">
        <v>109</v>
      </c>
      <c r="T185" s="0">
        <f>HYPERLINK("https://storage.sslt.ae/ItemVariation/08DCDC77-36A6-4D66-8A47-D8D80CF750CB/03197B14-CA72-461A-A3A8-114CE6B089FE.webp","Variant Image")</f>
      </c>
      <c r="X185" s="0" t="s">
        <v>718</v>
      </c>
    </row>
    <row r="186">
      <c r="P186" s="0" t="s">
        <v>693</v>
      </c>
      <c r="Q186" s="0" t="s">
        <v>526</v>
      </c>
      <c r="R186" s="0" t="s">
        <v>712</v>
      </c>
      <c r="S186" s="0" t="s">
        <v>245</v>
      </c>
      <c r="T186" s="0">
        <f>HYPERLINK("https://storage.sslt.ae/ItemVariation/08DCDC77-36A6-4D66-8A47-D8D80CF750CB/B8F932C6-E5CF-4B48-AE84-D413DFCD98CF.webp","Variant Image")</f>
      </c>
      <c r="X186" s="0" t="s">
        <v>716</v>
      </c>
    </row>
    <row r="187">
      <c r="P187" s="0" t="s">
        <v>590</v>
      </c>
      <c r="Q187" s="0" t="s">
        <v>526</v>
      </c>
      <c r="R187" s="0" t="s">
        <v>719</v>
      </c>
      <c r="S187" s="0" t="s">
        <v>720</v>
      </c>
      <c r="T187" s="0">
        <f>HYPERLINK("https://storage.sslt.ae/ItemVariation/08DCDC77-36A6-4D66-8A47-D8D80CF750CB/DB3D6AED-CD6B-4A64-959B-9D3BB39FE9F8.webp","Variant Image")</f>
      </c>
      <c r="X187" s="0" t="s">
        <v>721</v>
      </c>
    </row>
    <row r="188">
      <c r="A188" s="0" t="s">
        <v>682</v>
      </c>
      <c r="B188" s="0" t="s">
        <v>682</v>
      </c>
      <c r="C188" s="0" t="s">
        <v>722</v>
      </c>
      <c r="D188" s="0" t="s">
        <v>684</v>
      </c>
      <c r="E188" s="0" t="s">
        <v>685</v>
      </c>
      <c r="F188" s="0" t="s">
        <v>29</v>
      </c>
      <c r="G188" s="0" t="s">
        <v>723</v>
      </c>
      <c r="H188" s="0" t="s">
        <v>723</v>
      </c>
      <c r="I188" s="0" t="s">
        <v>724</v>
      </c>
      <c r="J188" s="0" t="s">
        <v>724</v>
      </c>
      <c r="K188" s="0" t="s">
        <v>638</v>
      </c>
      <c r="L188" s="0" t="s">
        <v>32</v>
      </c>
      <c r="M188" s="0" t="s">
        <v>61</v>
      </c>
      <c r="N188" s="0" t="s">
        <v>337</v>
      </c>
      <c r="O188" s="0" t="s">
        <v>110</v>
      </c>
      <c r="P188" s="0" t="s">
        <v>689</v>
      </c>
      <c r="Q188" s="0" t="s">
        <v>638</v>
      </c>
      <c r="R188" s="0" t="s">
        <v>722</v>
      </c>
      <c r="S188" s="0" t="s">
        <v>337</v>
      </c>
      <c r="T188" s="0">
        <f>HYPERLINK("https://storage.sslt.ae/ItemVariation/08DCDC85-9787-4040-836F-16301378588B/FAAB1E4D-8A47-4A17-80A2-C2B516B48BE3.png","Variant Image")</f>
      </c>
      <c r="U188" s="0">
        <f>HYPERLINK("https://ec-qa-storage.kldlms.com/Item/08DCDC85-9787-4040-836F-16301378588B/35CAAC84-130D-43E6-BC0B-D182E44BEF6D.png","Thumbnail Image")</f>
      </c>
      <c r="V188" s="0">
        <f>HYPERLINK("https://ec-qa-storage.kldlms.com/ItemGallery/08DCDC85-9787-4040-836F-16301378588B/0A206904-29AA-4887-84B2-E519D2C39E46.png","Gallery Image ")</f>
      </c>
      <c r="W188" s="0" t="s">
        <v>22</v>
      </c>
      <c r="X188" s="0" t="s">
        <v>725</v>
      </c>
    </row>
    <row r="189">
      <c r="P189" s="0" t="s">
        <v>693</v>
      </c>
      <c r="Q189" s="0" t="s">
        <v>726</v>
      </c>
      <c r="R189" s="0" t="s">
        <v>727</v>
      </c>
      <c r="S189" s="0" t="s">
        <v>205</v>
      </c>
      <c r="T189" s="0">
        <f>HYPERLINK("https://storage.sslt.ae/ItemVariation/08DCDC85-9787-4040-836F-16301378588B/73397F8E-C4C8-4232-8338-A6EB80692F92.png","Variant Image")</f>
      </c>
      <c r="X189" s="0" t="s">
        <v>728</v>
      </c>
    </row>
    <row r="190">
      <c r="P190" s="0" t="s">
        <v>590</v>
      </c>
      <c r="Q190" s="0" t="s">
        <v>494</v>
      </c>
      <c r="R190" s="0" t="s">
        <v>729</v>
      </c>
      <c r="S190" s="0" t="s">
        <v>280</v>
      </c>
      <c r="T190" s="0">
        <f>HYPERLINK("https://storage.sslt.ae/ItemVariation/08DCDC85-9787-4040-836F-16301378588B/47CF503C-7186-48A4-B872-CC497AA705CC.png","Variant Image")</f>
      </c>
      <c r="X190" s="0" t="s">
        <v>730</v>
      </c>
    </row>
    <row r="191">
      <c r="P191" s="0" t="s">
        <v>593</v>
      </c>
      <c r="Q191" s="0" t="s">
        <v>638</v>
      </c>
      <c r="R191" s="0" t="s">
        <v>731</v>
      </c>
      <c r="S191" s="0" t="s">
        <v>276</v>
      </c>
      <c r="T191" s="0">
        <f>HYPERLINK("https://storage.sslt.ae/ItemVariation/08DCDC85-9787-4040-836F-16301378588B/F3D4AF77-FE26-435E-B152-9C934EAF08CF.png","Variant Image")</f>
      </c>
      <c r="X191" s="0" t="s">
        <v>732</v>
      </c>
    </row>
    <row r="192">
      <c r="A192" s="0" t="s">
        <v>682</v>
      </c>
      <c r="B192" s="0" t="s">
        <v>682</v>
      </c>
      <c r="C192" s="0" t="s">
        <v>733</v>
      </c>
      <c r="D192" s="0" t="s">
        <v>684</v>
      </c>
      <c r="E192" s="0" t="s">
        <v>685</v>
      </c>
      <c r="F192" s="0" t="s">
        <v>29</v>
      </c>
      <c r="G192" s="0" t="s">
        <v>734</v>
      </c>
      <c r="H192" s="0" t="s">
        <v>734</v>
      </c>
      <c r="I192" s="0" t="s">
        <v>735</v>
      </c>
      <c r="J192" s="0" t="s">
        <v>735</v>
      </c>
      <c r="K192" s="0" t="s">
        <v>736</v>
      </c>
      <c r="L192" s="0" t="s">
        <v>32</v>
      </c>
      <c r="M192" s="0" t="s">
        <v>61</v>
      </c>
      <c r="N192" s="0" t="s">
        <v>218</v>
      </c>
      <c r="O192" s="0" t="s">
        <v>110</v>
      </c>
      <c r="P192" s="0" t="s">
        <v>689</v>
      </c>
      <c r="Q192" s="0" t="s">
        <v>736</v>
      </c>
      <c r="R192" s="0" t="s">
        <v>733</v>
      </c>
      <c r="S192" s="0" t="s">
        <v>218</v>
      </c>
      <c r="T192" s="0">
        <f>HYPERLINK("https://storage.sslt.ae/ItemVariation/08DCDC88-E564-4D6C-832B-27854B8BDADC/C113A3C3-0D9F-46A3-B073-7CE0BB1AAA5E.webp","Variant Image")</f>
      </c>
      <c r="U192" s="0">
        <f>HYPERLINK("https://ec-qa-storage.kldlms.com/Item/08DCDC88-E564-4D6C-832B-27854B8BDADC/7DEA2C1B-2B3A-45F7-A99C-045605B0242A.png","Thumbnail Image")</f>
      </c>
      <c r="V192" s="0">
        <f>HYPERLINK("https://ec-qa-storage.kldlms.com/ItemGallery/08DCDC88-E564-4D6C-832B-27854B8BDADC/EE4FA2B5-9A2E-4051-AA56-BF9372F32CB8.png","Gallery Image ")</f>
      </c>
      <c r="W192" s="0" t="s">
        <v>22</v>
      </c>
      <c r="X192" s="0" t="s">
        <v>737</v>
      </c>
    </row>
    <row r="193">
      <c r="P193" s="0" t="s">
        <v>693</v>
      </c>
      <c r="Q193" s="0" t="s">
        <v>738</v>
      </c>
      <c r="R193" s="0" t="s">
        <v>739</v>
      </c>
      <c r="S193" s="0" t="s">
        <v>218</v>
      </c>
      <c r="T193" s="0">
        <f>HYPERLINK("https://storage.sslt.ae/ItemVariation/08DCDC88-E564-4D6C-832B-27854B8BDADC/32F3439A-1285-4A41-B91A-8518144D0AF1.png","Variant Image")</f>
      </c>
      <c r="X193" s="0" t="s">
        <v>740</v>
      </c>
    </row>
    <row r="194">
      <c r="P194" s="0" t="s">
        <v>590</v>
      </c>
      <c r="Q194" s="0" t="s">
        <v>741</v>
      </c>
      <c r="R194" s="0" t="s">
        <v>742</v>
      </c>
      <c r="S194" s="0" t="s">
        <v>218</v>
      </c>
      <c r="T194" s="0">
        <f>HYPERLINK("https://storage.sslt.ae/ItemVariation/08DCDC88-E564-4D6C-832B-27854B8BDADC/6DBCF1B9-AD8B-4673-A4A9-68D201CA78C7.png","Variant Image")</f>
      </c>
      <c r="X194" s="0" t="s">
        <v>743</v>
      </c>
    </row>
    <row r="195">
      <c r="P195" s="0" t="s">
        <v>593</v>
      </c>
      <c r="Q195" s="0" t="s">
        <v>738</v>
      </c>
      <c r="R195" s="0" t="s">
        <v>744</v>
      </c>
      <c r="S195" s="0" t="s">
        <v>337</v>
      </c>
      <c r="T195" s="0">
        <f>HYPERLINK("https://storage.sslt.ae/ItemVariation/08DCDC88-E564-4D6C-832B-27854B8BDADC/9098268E-879C-4CF0-BEDD-B62750C50597.png","Variant Image")</f>
      </c>
      <c r="X195" s="0" t="s">
        <v>745</v>
      </c>
    </row>
    <row r="196">
      <c r="A196" s="0" t="s">
        <v>746</v>
      </c>
      <c r="B196" s="0" t="s">
        <v>746</v>
      </c>
      <c r="C196" s="0" t="s">
        <v>747</v>
      </c>
      <c r="D196" s="0" t="s">
        <v>748</v>
      </c>
      <c r="E196" s="0" t="s">
        <v>749</v>
      </c>
      <c r="F196" s="0" t="s">
        <v>750</v>
      </c>
      <c r="G196" s="0" t="s">
        <v>751</v>
      </c>
      <c r="H196" s="0" t="s">
        <v>751</v>
      </c>
      <c r="I196" s="0" t="s">
        <v>752</v>
      </c>
      <c r="J196" s="0" t="s">
        <v>752</v>
      </c>
      <c r="K196" s="0" t="s">
        <v>753</v>
      </c>
      <c r="L196" s="0" t="s">
        <v>32</v>
      </c>
      <c r="M196" s="0" t="s">
        <v>61</v>
      </c>
      <c r="N196" s="0" t="s">
        <v>35</v>
      </c>
      <c r="O196" s="0" t="s">
        <v>110</v>
      </c>
      <c r="P196" s="0" t="s">
        <v>501</v>
      </c>
      <c r="Q196" s="0" t="s">
        <v>754</v>
      </c>
      <c r="R196" s="0" t="s">
        <v>747</v>
      </c>
      <c r="S196" s="0" t="s">
        <v>35</v>
      </c>
      <c r="T196" s="0">
        <f>HYPERLINK("https://storage.sslt.ae/ItemVariation/08DCDC93-4722-4CB4-8F00-7B378C5B7E83/15803F04-AE97-425E-BE47-8D8E62A5C819.png","Variant Image")</f>
      </c>
      <c r="U196" s="0">
        <f>HYPERLINK("https://ec-qa-storage.kldlms.com/Item/08DCDC93-4722-4CB4-8F00-7B378C5B7E83/F49B13A2-46F5-4725-AEBB-671186E7B09A.png","Thumbnail Image")</f>
      </c>
      <c r="V196" s="0">
        <f>HYPERLINK("https://ec-qa-storage.kldlms.com/ItemGallery/08DCDC93-4722-4CB4-8F00-7B378C5B7E83/1A87F555-44E1-420E-BB54-EF4C0429F852.png","Gallery Image ")</f>
      </c>
      <c r="W196" s="0" t="s">
        <v>22</v>
      </c>
    </row>
    <row r="197">
      <c r="A197" s="0" t="s">
        <v>746</v>
      </c>
      <c r="B197" s="0" t="s">
        <v>746</v>
      </c>
      <c r="C197" s="0" t="s">
        <v>755</v>
      </c>
      <c r="D197" s="0" t="s">
        <v>748</v>
      </c>
      <c r="E197" s="0" t="s">
        <v>749</v>
      </c>
      <c r="F197" s="0" t="s">
        <v>750</v>
      </c>
      <c r="G197" s="0" t="s">
        <v>751</v>
      </c>
      <c r="H197" s="0" t="s">
        <v>751</v>
      </c>
      <c r="I197" s="0" t="s">
        <v>756</v>
      </c>
      <c r="J197" s="0" t="s">
        <v>756</v>
      </c>
      <c r="K197" s="0" t="s">
        <v>753</v>
      </c>
      <c r="L197" s="0" t="s">
        <v>32</v>
      </c>
      <c r="M197" s="0" t="s">
        <v>61</v>
      </c>
      <c r="N197" s="0" t="s">
        <v>35</v>
      </c>
      <c r="O197" s="0" t="s">
        <v>110</v>
      </c>
      <c r="P197" s="0" t="s">
        <v>193</v>
      </c>
      <c r="Q197" s="0" t="s">
        <v>753</v>
      </c>
      <c r="R197" s="0" t="s">
        <v>747</v>
      </c>
      <c r="S197" s="0" t="s">
        <v>35</v>
      </c>
      <c r="T197" s="0">
        <f>HYPERLINK("https://storage.sslt.ae/ItemVariation/08DCDC98-607C-44A4-8954-2AAB8A0F65D5/3F752D8A-F0CF-46FA-9DFA-9E97CF8A29A4.png","Variant Image")</f>
      </c>
      <c r="U197" s="0">
        <f>HYPERLINK("https://ec-qa-storage.kldlms.com/Item/08DCDC98-607C-44A4-8954-2AAB8A0F65D5/614ADDD8-66D3-4EA0-AF99-58059F125EB8.png","Thumbnail Image")</f>
      </c>
      <c r="V197" s="0">
        <f>HYPERLINK("https://ec-qa-storage.kldlms.com/ItemGallery/08DCDC98-607C-44A4-8954-2AAB8A0F65D5/DA3F1FD6-337D-45B0-9B90-A071AC7B8028.png","Gallery Image ")</f>
      </c>
      <c r="W197" s="0" t="s">
        <v>22</v>
      </c>
    </row>
    <row r="198">
      <c r="A198" s="0" t="s">
        <v>682</v>
      </c>
      <c r="B198" s="0" t="s">
        <v>682</v>
      </c>
      <c r="C198" s="0" t="s">
        <v>757</v>
      </c>
      <c r="D198" s="0" t="s">
        <v>684</v>
      </c>
      <c r="E198" s="0" t="s">
        <v>28</v>
      </c>
      <c r="F198" s="0" t="s">
        <v>29</v>
      </c>
      <c r="G198" s="0" t="s">
        <v>758</v>
      </c>
      <c r="H198" s="0" t="s">
        <v>758</v>
      </c>
      <c r="I198" s="0" t="s">
        <v>759</v>
      </c>
      <c r="J198" s="0" t="s">
        <v>759</v>
      </c>
      <c r="K198" s="0" t="s">
        <v>760</v>
      </c>
      <c r="L198" s="0" t="s">
        <v>32</v>
      </c>
      <c r="M198" s="0" t="s">
        <v>61</v>
      </c>
      <c r="N198" s="0" t="s">
        <v>761</v>
      </c>
      <c r="O198" s="0" t="s">
        <v>110</v>
      </c>
      <c r="P198" s="0" t="s">
        <v>327</v>
      </c>
      <c r="Q198" s="0" t="s">
        <v>760</v>
      </c>
      <c r="R198" s="0" t="s">
        <v>757</v>
      </c>
      <c r="S198" s="0" t="s">
        <v>761</v>
      </c>
      <c r="T198" s="0">
        <f>HYPERLINK("https://storage.sslt.ae/ItemVariation/08DCDD29-3E31-4A9B-85F3-1398F1511D75/6581AFB0-C92B-4D99-BD29-A62153BF41B9.png","Variant Image")</f>
      </c>
      <c r="U198" s="0">
        <f>HYPERLINK("https://ec-qa-storage.kldlms.com/Item/08DCDD29-3E31-4A9B-85F3-1398F1511D75/54BD3AC9-AB9D-4A8C-968F-3FFAA1987C02.png","Thumbnail Image")</f>
      </c>
      <c r="V198" s="0">
        <f>HYPERLINK("https://ec-qa-storage.kldlms.com/ItemGallery/08DCDD29-3E31-4A9B-85F3-1398F1511D75/0D7E5860-52FC-4A09-8C30-F38F1F45B796.png","Gallery Image ")</f>
      </c>
      <c r="W198" s="0" t="s">
        <v>22</v>
      </c>
      <c r="X198" s="0" t="s">
        <v>762</v>
      </c>
    </row>
    <row r="199">
      <c r="A199" s="0" t="s">
        <v>682</v>
      </c>
      <c r="B199" s="0" t="s">
        <v>682</v>
      </c>
      <c r="C199" s="0" t="s">
        <v>763</v>
      </c>
      <c r="D199" s="0" t="s">
        <v>684</v>
      </c>
      <c r="E199" s="0" t="s">
        <v>685</v>
      </c>
      <c r="F199" s="0" t="s">
        <v>29</v>
      </c>
      <c r="G199" s="0" t="s">
        <v>764</v>
      </c>
      <c r="H199" s="0" t="s">
        <v>764</v>
      </c>
      <c r="I199" s="0" t="s">
        <v>765</v>
      </c>
      <c r="J199" s="0" t="s">
        <v>766</v>
      </c>
      <c r="K199" s="0" t="s">
        <v>736</v>
      </c>
      <c r="L199" s="0" t="s">
        <v>32</v>
      </c>
      <c r="M199" s="0" t="s">
        <v>61</v>
      </c>
      <c r="N199" s="0" t="s">
        <v>254</v>
      </c>
      <c r="O199" s="0" t="s">
        <v>110</v>
      </c>
      <c r="P199" s="0" t="s">
        <v>689</v>
      </c>
      <c r="Q199" s="0" t="s">
        <v>736</v>
      </c>
      <c r="R199" s="0" t="s">
        <v>763</v>
      </c>
      <c r="S199" s="0" t="s">
        <v>254</v>
      </c>
      <c r="T199" s="0">
        <f>HYPERLINK("https://storage.sslt.ae/ItemVariation/08DCDD30-8F29-4898-8D03-682AB71FE758/CD3717E3-2B0D-4C06-A708-B1688A8A71ED.webp","Variant Image")</f>
      </c>
      <c r="U199" s="0">
        <f>HYPERLINK("https://ec-qa-storage.kldlms.com/Item/08DCDD30-8F29-4898-8D03-682AB71FE758/8AACA014-6324-474B-9888-5B1F7A777EB7.png","Thumbnail Image")</f>
      </c>
      <c r="V199" s="0">
        <f>HYPERLINK("https://ec-qa-storage.kldlms.com/ItemGallery/08DCDD30-8F29-4898-8D03-682AB71FE758/609253B9-B66D-4F88-8A9A-91DFF9D37F7D.png","Gallery Image ")</f>
      </c>
      <c r="W199" s="0" t="s">
        <v>22</v>
      </c>
      <c r="X199" s="0" t="s">
        <v>767</v>
      </c>
    </row>
    <row r="200">
      <c r="P200" s="0" t="s">
        <v>693</v>
      </c>
      <c r="Q200" s="0" t="s">
        <v>738</v>
      </c>
      <c r="R200" s="0" t="s">
        <v>768</v>
      </c>
      <c r="S200" s="0" t="s">
        <v>769</v>
      </c>
      <c r="T200" s="0">
        <f>HYPERLINK("https://storage.sslt.ae/ItemVariation/08DCDD30-8F29-4898-8D03-682AB71FE758/E851A13B-127C-4E72-BEB0-F04DBC4C1AA3.png","Variant Image")</f>
      </c>
      <c r="X200" s="0" t="s">
        <v>770</v>
      </c>
    </row>
    <row r="201">
      <c r="P201" s="0" t="s">
        <v>590</v>
      </c>
      <c r="Q201" s="0" t="s">
        <v>736</v>
      </c>
      <c r="R201" s="0" t="s">
        <v>771</v>
      </c>
      <c r="S201" s="0" t="s">
        <v>772</v>
      </c>
      <c r="T201" s="0">
        <f>HYPERLINK("https://storage.sslt.ae/ItemVariation/08DCDD30-8F29-4898-8D03-682AB71FE758/006891E8-A16A-42FB-AB59-6CF992BEAEB2.png","Variant Image")</f>
      </c>
      <c r="X201" s="0" t="s">
        <v>773</v>
      </c>
    </row>
    <row r="202">
      <c r="P202" s="0" t="s">
        <v>593</v>
      </c>
      <c r="Q202" s="0" t="s">
        <v>533</v>
      </c>
      <c r="R202" s="0" t="s">
        <v>774</v>
      </c>
      <c r="S202" s="0" t="s">
        <v>218</v>
      </c>
      <c r="T202" s="0">
        <f>HYPERLINK("https://storage.sslt.ae/ItemVariation/08DCDD30-8F29-4898-8D03-682AB71FE758/E197359A-7657-49E7-8338-C8BDEA0E3860.png","Variant Image")</f>
      </c>
      <c r="X202" s="0" t="s">
        <v>775</v>
      </c>
    </row>
    <row r="203">
      <c r="A203" s="0" t="s">
        <v>682</v>
      </c>
      <c r="B203" s="0" t="s">
        <v>682</v>
      </c>
      <c r="C203" s="0" t="s">
        <v>776</v>
      </c>
      <c r="D203" s="0" t="s">
        <v>684</v>
      </c>
      <c r="E203" s="0" t="s">
        <v>685</v>
      </c>
      <c r="F203" s="0" t="s">
        <v>29</v>
      </c>
      <c r="G203" s="0" t="s">
        <v>777</v>
      </c>
      <c r="H203" s="0" t="s">
        <v>777</v>
      </c>
      <c r="I203" s="0" t="s">
        <v>778</v>
      </c>
      <c r="J203" s="0" t="s">
        <v>778</v>
      </c>
      <c r="K203" s="0" t="s">
        <v>779</v>
      </c>
      <c r="L203" s="0" t="s">
        <v>32</v>
      </c>
      <c r="M203" s="0" t="s">
        <v>61</v>
      </c>
      <c r="N203" s="0" t="s">
        <v>780</v>
      </c>
      <c r="O203" s="0" t="s">
        <v>110</v>
      </c>
      <c r="P203" s="0" t="s">
        <v>327</v>
      </c>
      <c r="Q203" s="0" t="s">
        <v>646</v>
      </c>
      <c r="R203" s="0" t="s">
        <v>776</v>
      </c>
      <c r="S203" s="0" t="s">
        <v>780</v>
      </c>
      <c r="T203" s="0">
        <f>HYPERLINK("https://storage.sslt.ae/ItemVariation/08DCDD34-C38A-4BC2-80A9-E73E5852A68F/3065F011-D6C4-4E97-B11B-8B3966BA7621.png","Variant Image")</f>
      </c>
      <c r="U203" s="0">
        <f>HYPERLINK("https://ec-qa-storage.kldlms.com/Item/08DCDD34-C38A-4BC2-80A9-E73E5852A68F/35025BEA-4E6A-4608-A744-0284523D2C03.png","Thumbnail Image")</f>
      </c>
      <c r="V203" s="0">
        <f>HYPERLINK("https://ec-qa-storage.kldlms.com/ItemGallery/08DCDD34-C38A-4BC2-80A9-E73E5852A68F/5A7C4DD7-F1AB-49D7-AB0E-119B6D28EBEC.png","Gallery Image ")</f>
      </c>
      <c r="W203" s="0" t="s">
        <v>22</v>
      </c>
      <c r="X203" s="0" t="s">
        <v>781</v>
      </c>
    </row>
    <row r="204">
      <c r="A204" s="0" t="s">
        <v>682</v>
      </c>
      <c r="B204" s="0" t="s">
        <v>682</v>
      </c>
      <c r="C204" s="0" t="s">
        <v>782</v>
      </c>
      <c r="D204" s="0" t="s">
        <v>684</v>
      </c>
      <c r="E204" s="0" t="s">
        <v>685</v>
      </c>
      <c r="F204" s="0" t="s">
        <v>29</v>
      </c>
      <c r="G204" s="0" t="s">
        <v>783</v>
      </c>
      <c r="H204" s="0" t="s">
        <v>783</v>
      </c>
      <c r="I204" s="0" t="s">
        <v>784</v>
      </c>
      <c r="J204" s="0" t="s">
        <v>784</v>
      </c>
      <c r="K204" s="0" t="s">
        <v>785</v>
      </c>
      <c r="L204" s="0" t="s">
        <v>32</v>
      </c>
      <c r="M204" s="0" t="s">
        <v>61</v>
      </c>
      <c r="N204" s="0" t="s">
        <v>109</v>
      </c>
      <c r="O204" s="0" t="s">
        <v>110</v>
      </c>
      <c r="P204" s="0" t="s">
        <v>693</v>
      </c>
      <c r="Q204" s="0" t="s">
        <v>265</v>
      </c>
      <c r="R204" s="0" t="s">
        <v>786</v>
      </c>
      <c r="S204" s="0" t="s">
        <v>787</v>
      </c>
      <c r="T204" s="0">
        <f>HYPERLINK("https://storage.sslt.ae/ItemVariation/08DCDD52-2EB2-49DB-8131-2FCECE35BB36/1E57E972-78DD-4B33-9BCB-D502F2365F77.png","Variant Image")</f>
      </c>
      <c r="U204" s="0">
        <f>HYPERLINK("https://ec-qa-storage.kldlms.com/Item/08DCDD52-2EB2-49DB-8131-2FCECE35BB36/FC196570-C81A-45E8-82DA-CAF903DCFE3D.png","Thumbnail Image")</f>
      </c>
      <c r="V204" s="0">
        <f>HYPERLINK("https://ec-qa-storage.kldlms.com/ItemGallery/08DCDD52-2EB2-49DB-8131-2FCECE35BB36/D9299862-5EA2-44F0-A299-03C2735284D4.png","Gallery Image ")</f>
      </c>
      <c r="W204" s="0" t="s">
        <v>22</v>
      </c>
      <c r="X204" s="0" t="s">
        <v>788</v>
      </c>
    </row>
    <row r="205">
      <c r="P205" s="0" t="s">
        <v>590</v>
      </c>
      <c r="Q205" s="0" t="s">
        <v>441</v>
      </c>
      <c r="R205" s="0" t="s">
        <v>789</v>
      </c>
      <c r="S205" s="0" t="s">
        <v>140</v>
      </c>
      <c r="T205" s="0">
        <f>HYPERLINK("https://storage.sslt.ae/ItemVariation/08DCDD52-2EB2-49DB-8131-2FCECE35BB36/E97EDB89-B2EB-4DF2-B085-2EC16211F19D.png","Variant Image")</f>
      </c>
      <c r="X205" s="0" t="s">
        <v>790</v>
      </c>
    </row>
    <row r="206">
      <c r="P206" s="0" t="s">
        <v>593</v>
      </c>
      <c r="Q206" s="0" t="s">
        <v>785</v>
      </c>
      <c r="R206" s="0" t="s">
        <v>782</v>
      </c>
      <c r="S206" s="0" t="s">
        <v>109</v>
      </c>
      <c r="T206" s="0">
        <f>HYPERLINK("https://storage.sslt.ae/ItemVariation/08DCDD52-2EB2-49DB-8131-2FCECE35BB36/AD43F5C7-E297-4759-9770-17EB37E73D55.webp","Variant Image")</f>
      </c>
      <c r="X206" s="0" t="s">
        <v>791</v>
      </c>
    </row>
    <row r="207">
      <c r="A207" s="0" t="s">
        <v>682</v>
      </c>
      <c r="B207" s="0" t="s">
        <v>682</v>
      </c>
      <c r="C207" s="0" t="s">
        <v>792</v>
      </c>
      <c r="D207" s="0" t="s">
        <v>684</v>
      </c>
      <c r="E207" s="0" t="s">
        <v>28</v>
      </c>
      <c r="F207" s="0" t="s">
        <v>29</v>
      </c>
      <c r="G207" s="0" t="s">
        <v>793</v>
      </c>
      <c r="H207" s="0" t="s">
        <v>793</v>
      </c>
      <c r="I207" s="0" t="s">
        <v>794</v>
      </c>
      <c r="J207" s="0" t="s">
        <v>795</v>
      </c>
      <c r="K207" s="0" t="s">
        <v>131</v>
      </c>
      <c r="L207" s="0" t="s">
        <v>32</v>
      </c>
      <c r="M207" s="0" t="s">
        <v>61</v>
      </c>
      <c r="N207" s="0" t="s">
        <v>280</v>
      </c>
      <c r="O207" s="0" t="s">
        <v>110</v>
      </c>
      <c r="P207" s="0" t="s">
        <v>689</v>
      </c>
      <c r="Q207" s="0" t="s">
        <v>796</v>
      </c>
      <c r="R207" s="0" t="s">
        <v>797</v>
      </c>
      <c r="S207" s="0" t="s">
        <v>164</v>
      </c>
      <c r="T207" s="0">
        <f>HYPERLINK("https://storage.sslt.ae/ItemVariation/08DCDD5D-171F-4C3F-8BB8-F9CF99A01C10/8A7F057D-3B26-46BC-81B3-244C1681380B.png","Variant Image")</f>
      </c>
      <c r="U207" s="0">
        <f>HYPERLINK("https://ec-qa-storage.kldlms.com/Item/08DCDD5D-171F-4C3F-8BB8-F9CF99A01C10/F1B6E2B5-28FE-4985-8455-D89C33C53361.png","Thumbnail Image")</f>
      </c>
      <c r="V207" s="0">
        <f>HYPERLINK("https://ec-qa-storage.kldlms.com/ItemGallery/08DCDD5D-171F-4C3F-8BB8-F9CF99A01C10/D8B97131-E4E9-4982-A22B-50A4D60DF9A1.png","Gallery Image ")</f>
      </c>
      <c r="W207" s="0" t="s">
        <v>22</v>
      </c>
      <c r="X207" s="0" t="s">
        <v>798</v>
      </c>
    </row>
    <row r="208">
      <c r="P208" s="0" t="s">
        <v>693</v>
      </c>
      <c r="Q208" s="0" t="s">
        <v>591</v>
      </c>
      <c r="R208" s="0" t="s">
        <v>799</v>
      </c>
      <c r="S208" s="0" t="s">
        <v>232</v>
      </c>
      <c r="T208" s="0">
        <f>HYPERLINK("https://storage.sslt.ae/ItemVariation/08DCDD5D-171F-4C3F-8BB8-F9CF99A01C10/381BFC85-8D38-4610-BD1B-616C47A40087.png","Variant Image")</f>
      </c>
      <c r="X208" s="0" t="s">
        <v>800</v>
      </c>
    </row>
    <row r="209">
      <c r="P209" s="0" t="s">
        <v>590</v>
      </c>
      <c r="Q209" s="0" t="s">
        <v>801</v>
      </c>
      <c r="R209" s="0" t="s">
        <v>802</v>
      </c>
      <c r="S209" s="0" t="s">
        <v>512</v>
      </c>
      <c r="T209" s="0">
        <f>HYPERLINK("https://storage.sslt.ae/ItemVariation/08DCDD5D-171F-4C3F-8BB8-F9CF99A01C10/CFED160D-E14B-4EEF-8EFB-0EFBB2A69824.png","Variant Image")</f>
      </c>
      <c r="X209" s="0" t="s">
        <v>803</v>
      </c>
    </row>
    <row r="210">
      <c r="P210" s="0" t="s">
        <v>134</v>
      </c>
      <c r="Q210" s="0" t="s">
        <v>131</v>
      </c>
      <c r="R210" s="0" t="s">
        <v>792</v>
      </c>
      <c r="S210" s="0" t="s">
        <v>280</v>
      </c>
      <c r="T210" s="0">
        <f>HYPERLINK("https://storage.sslt.ae/ItemVariation/08DCDD5D-171F-4C3F-8BB8-F9CF99A01C10/6FA44164-563E-4363-B1FA-706C40766433.webp","Variant Image")</f>
      </c>
      <c r="X210" s="0" t="s">
        <v>804</v>
      </c>
    </row>
    <row r="211">
      <c r="A211" s="0" t="s">
        <v>682</v>
      </c>
      <c r="B211" s="0" t="s">
        <v>682</v>
      </c>
      <c r="C211" s="0" t="s">
        <v>805</v>
      </c>
      <c r="D211" s="0" t="s">
        <v>684</v>
      </c>
      <c r="E211" s="0" t="s">
        <v>28</v>
      </c>
      <c r="F211" s="0" t="s">
        <v>29</v>
      </c>
      <c r="G211" s="0" t="s">
        <v>806</v>
      </c>
      <c r="H211" s="0" t="s">
        <v>806</v>
      </c>
      <c r="I211" s="0" t="s">
        <v>807</v>
      </c>
      <c r="J211" s="0" t="s">
        <v>808</v>
      </c>
      <c r="K211" s="0" t="s">
        <v>701</v>
      </c>
      <c r="L211" s="0" t="s">
        <v>32</v>
      </c>
      <c r="M211" s="0" t="s">
        <v>61</v>
      </c>
      <c r="N211" s="0" t="s">
        <v>155</v>
      </c>
      <c r="O211" s="0" t="s">
        <v>110</v>
      </c>
      <c r="P211" s="0" t="s">
        <v>590</v>
      </c>
      <c r="Q211" s="0" t="s">
        <v>701</v>
      </c>
      <c r="R211" s="0" t="s">
        <v>805</v>
      </c>
      <c r="S211" s="0" t="s">
        <v>155</v>
      </c>
      <c r="T211" s="0">
        <f>HYPERLINK("https://storage.sslt.ae/ItemVariation/08DCDDF3-A6E3-4C5F-8198-4DB1E8B93394/11DA5786-9116-49AC-AFCE-269EE927EE8E.webp","Variant Image")</f>
      </c>
      <c r="U211" s="0">
        <f>HYPERLINK("https://ec-qa-storage.kldlms.com/Item/08DCDDF3-A6E3-4C5F-8198-4DB1E8B93394/20FA4B38-194C-4833-BEE2-7C0C8B43EC6B.png","Thumbnail Image")</f>
      </c>
      <c r="V211" s="0">
        <f>HYPERLINK("https://ec-qa-storage.kldlms.com/ItemGallery/08DCDDF3-A6E3-4C5F-8198-4DB1E8B93394/1C2D1628-1900-491E-99F1-6216E09C7DE2.png","Gallery Image ")</f>
      </c>
      <c r="W211" s="0" t="s">
        <v>22</v>
      </c>
      <c r="X211" s="0" t="s">
        <v>809</v>
      </c>
    </row>
    <row r="212">
      <c r="P212" s="0" t="s">
        <v>593</v>
      </c>
      <c r="Q212" s="0" t="s">
        <v>151</v>
      </c>
      <c r="R212" s="0" t="s">
        <v>810</v>
      </c>
      <c r="S212" s="0" t="s">
        <v>337</v>
      </c>
      <c r="T212" s="0">
        <f>HYPERLINK("https://storage.sslt.ae/ItemVariation/08DCDDF3-A6E3-4C5F-8198-4DB1E8B93394/BDF3CA45-29F3-44E5-BB20-2BE10C20BCE4.png","Variant Image")</f>
      </c>
      <c r="X212" s="0" t="s">
        <v>811</v>
      </c>
    </row>
    <row r="213">
      <c r="A213" s="0" t="s">
        <v>682</v>
      </c>
      <c r="B213" s="0" t="s">
        <v>682</v>
      </c>
      <c r="C213" s="0" t="s">
        <v>812</v>
      </c>
      <c r="D213" s="0" t="s">
        <v>684</v>
      </c>
      <c r="E213" s="0" t="s">
        <v>28</v>
      </c>
      <c r="F213" s="0" t="s">
        <v>29</v>
      </c>
      <c r="G213" s="0" t="s">
        <v>813</v>
      </c>
      <c r="H213" s="0" t="s">
        <v>813</v>
      </c>
      <c r="I213" s="0" t="s">
        <v>814</v>
      </c>
      <c r="J213" s="0" t="s">
        <v>814</v>
      </c>
      <c r="K213" s="0" t="s">
        <v>402</v>
      </c>
      <c r="L213" s="0" t="s">
        <v>32</v>
      </c>
      <c r="M213" s="0" t="s">
        <v>61</v>
      </c>
      <c r="N213" s="0" t="s">
        <v>100</v>
      </c>
      <c r="O213" s="0" t="s">
        <v>110</v>
      </c>
      <c r="P213" s="0" t="s">
        <v>689</v>
      </c>
      <c r="Q213" s="0" t="s">
        <v>638</v>
      </c>
      <c r="R213" s="0" t="s">
        <v>815</v>
      </c>
      <c r="S213" s="0" t="s">
        <v>337</v>
      </c>
      <c r="T213" s="0">
        <f>HYPERLINK("https://storage.sslt.ae/ItemVariation/08DCDDF7-ECFF-4C6E-8914-D22E1BBE317C/94402CC0-E188-4D47-99B4-2485BACE75FC.png","Variant Image")</f>
      </c>
      <c r="U213" s="0">
        <f>HYPERLINK("https://ec-qa-storage.kldlms.com/Item/08DCDDF7-ECFF-4C6E-8914-D22E1BBE317C/659320FC-8F60-4C1D-B3E2-50B43197B1BC.png","Thumbnail Image")</f>
      </c>
      <c r="V213" s="0">
        <f>HYPERLINK("https://ec-qa-storage.kldlms.com/ItemGallery/08DCDDF7-ECFF-4C6E-8914-D22E1BBE317C/912D8BB4-B04E-4739-9EA7-185CD6279BB1.png","Gallery Image ")</f>
      </c>
      <c r="W213" s="0" t="s">
        <v>22</v>
      </c>
      <c r="X213" s="0" t="s">
        <v>816</v>
      </c>
    </row>
    <row r="214">
      <c r="P214" s="0" t="s">
        <v>693</v>
      </c>
      <c r="Q214" s="0" t="s">
        <v>638</v>
      </c>
      <c r="R214" s="0" t="s">
        <v>812</v>
      </c>
      <c r="S214" s="0" t="s">
        <v>100</v>
      </c>
      <c r="T214" s="0">
        <f>HYPERLINK("https://storage.sslt.ae/ItemVariation/08DCDDF7-ECFF-4C6E-8914-D22E1BBE317C/1158638E-959D-4635-AC4F-2B9B2B4C5E07.png","Variant Image")</f>
      </c>
      <c r="X214" s="0" t="s">
        <v>817</v>
      </c>
    </row>
    <row r="215">
      <c r="P215" s="0" t="s">
        <v>590</v>
      </c>
      <c r="Q215" s="0" t="s">
        <v>638</v>
      </c>
      <c r="R215" s="0" t="s">
        <v>818</v>
      </c>
      <c r="S215" s="0" t="s">
        <v>404</v>
      </c>
      <c r="T215" s="0">
        <f>HYPERLINK("https://storage.sslt.ae/ItemVariation/08DCDDF7-ECFF-4C6E-8914-D22E1BBE317C/3C0245F1-FC9D-4A60-8152-DBFDC8AC99F3.png","Variant Image")</f>
      </c>
      <c r="X215" s="0" t="s">
        <v>819</v>
      </c>
    </row>
    <row r="216">
      <c r="P216" s="0" t="s">
        <v>593</v>
      </c>
      <c r="Q216" s="0" t="s">
        <v>638</v>
      </c>
      <c r="R216" s="0" t="s">
        <v>820</v>
      </c>
      <c r="S216" s="0" t="s">
        <v>276</v>
      </c>
      <c r="T216" s="0">
        <f>HYPERLINK("https://storage.sslt.ae/ItemVariation/08DCDDF7-ECFF-4C6E-8914-D22E1BBE317C/61FE7E22-5041-478D-9D6B-C350D4DD811E.png","Variant Image")</f>
      </c>
      <c r="X216" s="0" t="s">
        <v>821</v>
      </c>
    </row>
    <row r="217">
      <c r="A217" s="0" t="s">
        <v>682</v>
      </c>
      <c r="B217" s="0" t="s">
        <v>682</v>
      </c>
      <c r="C217" s="0" t="s">
        <v>822</v>
      </c>
      <c r="D217" s="0" t="s">
        <v>684</v>
      </c>
      <c r="E217" s="0" t="s">
        <v>105</v>
      </c>
      <c r="F217" s="0" t="s">
        <v>29</v>
      </c>
      <c r="G217" s="0" t="s">
        <v>823</v>
      </c>
      <c r="H217" s="0" t="s">
        <v>823</v>
      </c>
      <c r="I217" s="0" t="s">
        <v>824</v>
      </c>
      <c r="J217" s="0" t="s">
        <v>824</v>
      </c>
      <c r="K217" s="0" t="s">
        <v>726</v>
      </c>
      <c r="L217" s="0" t="s">
        <v>32</v>
      </c>
      <c r="M217" s="0" t="s">
        <v>61</v>
      </c>
      <c r="N217" s="0" t="s">
        <v>302</v>
      </c>
      <c r="O217" s="0" t="s">
        <v>110</v>
      </c>
      <c r="P217" s="0" t="s">
        <v>689</v>
      </c>
      <c r="Q217" s="0" t="s">
        <v>825</v>
      </c>
      <c r="R217" s="0" t="s">
        <v>822</v>
      </c>
      <c r="S217" s="0" t="s">
        <v>302</v>
      </c>
      <c r="T217" s="0">
        <f>HYPERLINK("https://storage.sslt.ae/ItemVariation/08DCDE1A-B3FB-487B-86E8-6FD9F81C3A77/B4257F69-BAC7-447D-8818-7598F0129B0A.webp","Variant Image")</f>
      </c>
      <c r="U217" s="0">
        <f>HYPERLINK("https://ec-qa-storage.kldlms.com/Item/08DCDE1A-B3FB-487B-86E8-6FD9F81C3A77/F6FF0052-69C1-452F-A925-E4C03AB45B38.png","Thumbnail Image")</f>
      </c>
      <c r="V217" s="0">
        <f>HYPERLINK("https://ec-qa-storage.kldlms.com/ItemGallery/08DCDE1A-B3FB-487B-86E8-6FD9F81C3A77/21282233-FBDD-4F6E-A7D1-82AB67A1F0FF.png","Gallery Image ")</f>
      </c>
      <c r="W217" s="0" t="s">
        <v>22</v>
      </c>
      <c r="X217" s="0" t="s">
        <v>826</v>
      </c>
    </row>
    <row r="218">
      <c r="P218" s="0" t="s">
        <v>693</v>
      </c>
      <c r="Q218" s="0" t="s">
        <v>825</v>
      </c>
      <c r="R218" s="0" t="s">
        <v>827</v>
      </c>
      <c r="S218" s="0" t="s">
        <v>302</v>
      </c>
      <c r="T218" s="0">
        <f>HYPERLINK("https://storage.sslt.ae/ItemVariation/08DCDE1A-B3FB-487B-86E8-6FD9F81C3A77/51D4E2B7-11B4-466A-B941-F297E07FBC2E.png","Variant Image")</f>
      </c>
      <c r="X218" s="0" t="s">
        <v>828</v>
      </c>
    </row>
    <row r="219">
      <c r="P219" s="0" t="s">
        <v>590</v>
      </c>
      <c r="Q219" s="0" t="s">
        <v>825</v>
      </c>
      <c r="R219" s="0" t="s">
        <v>829</v>
      </c>
      <c r="S219" s="0" t="s">
        <v>512</v>
      </c>
      <c r="T219" s="0">
        <f>HYPERLINK("https://storage.sslt.ae/ItemVariation/08DCDE1A-B3FB-487B-86E8-6FD9F81C3A77/FE38E9EE-17C6-4921-8F05-F2109F6D2F2E.webp","Variant Image")</f>
      </c>
      <c r="X219" s="0" t="s">
        <v>830</v>
      </c>
    </row>
    <row r="220">
      <c r="P220" s="0" t="s">
        <v>593</v>
      </c>
      <c r="Q220" s="0" t="s">
        <v>825</v>
      </c>
      <c r="R220" s="0" t="s">
        <v>831</v>
      </c>
      <c r="S220" s="0" t="s">
        <v>266</v>
      </c>
      <c r="T220" s="0">
        <f>HYPERLINK("https://storage.sslt.ae/ItemVariation/08DCDE1A-B3FB-487B-86E8-6FD9F81C3A77/09E09289-03AF-42A2-BC74-A872CD9C3E2E.webp","Variant Image")</f>
      </c>
      <c r="X220" s="0" t="s">
        <v>832</v>
      </c>
    </row>
    <row r="221">
      <c r="A221" s="0" t="s">
        <v>682</v>
      </c>
      <c r="B221" s="0" t="s">
        <v>682</v>
      </c>
      <c r="C221" s="0" t="s">
        <v>833</v>
      </c>
      <c r="D221" s="0" t="s">
        <v>684</v>
      </c>
      <c r="E221" s="0" t="s">
        <v>105</v>
      </c>
      <c r="F221" s="0" t="s">
        <v>29</v>
      </c>
      <c r="G221" s="0" t="s">
        <v>834</v>
      </c>
      <c r="H221" s="0" t="s">
        <v>834</v>
      </c>
      <c r="I221" s="0" t="s">
        <v>835</v>
      </c>
      <c r="J221" s="0" t="s">
        <v>836</v>
      </c>
      <c r="K221" s="0" t="s">
        <v>837</v>
      </c>
      <c r="L221" s="0" t="s">
        <v>32</v>
      </c>
      <c r="M221" s="0" t="s">
        <v>61</v>
      </c>
      <c r="N221" s="0" t="s">
        <v>674</v>
      </c>
      <c r="O221" s="0" t="s">
        <v>110</v>
      </c>
      <c r="P221" s="0" t="s">
        <v>689</v>
      </c>
      <c r="Q221" s="0" t="s">
        <v>780</v>
      </c>
      <c r="R221" s="0" t="s">
        <v>833</v>
      </c>
      <c r="S221" s="0" t="s">
        <v>674</v>
      </c>
      <c r="T221" s="0">
        <f>HYPERLINK("https://storage.sslt.ae/ItemVariation/08DCDE2A-3635-467B-8237-65A8FB0AAE85/6BD478AC-3FDA-4F79-A921-176E462320DB.webp","Variant Image")</f>
      </c>
      <c r="U221" s="0">
        <f>HYPERLINK("https://ec-qa-storage.kldlms.com/Item/08DCDE2A-3635-467B-8237-65A8FB0AAE85/29DA9169-C8EA-4B0F-B588-1425E091C428.png","Thumbnail Image")</f>
      </c>
      <c r="V221" s="0">
        <f>HYPERLINK("https://ec-qa-storage.kldlms.com/ItemGallery/08DCDE2A-3635-467B-8237-65A8FB0AAE85/1E7901E2-374A-46EF-B21F-45A452FF1B0D.png","Gallery Image ")</f>
      </c>
      <c r="W221" s="0" t="s">
        <v>22</v>
      </c>
      <c r="X221" s="0" t="s">
        <v>838</v>
      </c>
    </row>
    <row r="222">
      <c r="P222" s="0" t="s">
        <v>693</v>
      </c>
      <c r="Q222" s="0" t="s">
        <v>780</v>
      </c>
      <c r="R222" s="0" t="s">
        <v>839</v>
      </c>
      <c r="S222" s="0" t="s">
        <v>840</v>
      </c>
      <c r="T222" s="0">
        <f>HYPERLINK("https://storage.sslt.ae/ItemVariation/08DCDE2A-3635-467B-8237-65A8FB0AAE85/6969AD3C-7193-4E1A-95E5-CC73DDB99A27.png","Variant Image")</f>
      </c>
      <c r="X222" s="0" t="s">
        <v>841</v>
      </c>
    </row>
    <row r="223">
      <c r="P223" s="0" t="s">
        <v>590</v>
      </c>
      <c r="Q223" s="0" t="s">
        <v>780</v>
      </c>
      <c r="R223" s="0" t="s">
        <v>842</v>
      </c>
      <c r="S223" s="0" t="s">
        <v>843</v>
      </c>
      <c r="T223" s="0">
        <f>HYPERLINK("https://storage.sslt.ae/ItemVariation/08DCDE2A-3635-467B-8237-65A8FB0AAE85/DC585361-D0F0-4346-9EB4-2C2742962E30.png","Variant Image")</f>
      </c>
      <c r="X223" s="0" t="s">
        <v>844</v>
      </c>
    </row>
    <row r="224">
      <c r="P224" s="0" t="s">
        <v>593</v>
      </c>
      <c r="Q224" s="0" t="s">
        <v>780</v>
      </c>
      <c r="R224" s="0" t="s">
        <v>845</v>
      </c>
      <c r="S224" s="0" t="s">
        <v>846</v>
      </c>
      <c r="T224" s="0">
        <f>HYPERLINK("https://storage.sslt.ae/ItemVariation/08DCDE2A-3635-467B-8237-65A8FB0AAE85/8181CECD-45EA-4FB0-BFC7-5BB02989B019.png","Variant Image")</f>
      </c>
      <c r="X224" s="0" t="s">
        <v>847</v>
      </c>
    </row>
    <row r="225">
      <c r="A225" s="0" t="s">
        <v>682</v>
      </c>
      <c r="B225" s="0" t="s">
        <v>682</v>
      </c>
      <c r="C225" s="0" t="s">
        <v>848</v>
      </c>
      <c r="D225" s="0" t="s">
        <v>684</v>
      </c>
      <c r="E225" s="0" t="s">
        <v>28</v>
      </c>
      <c r="F225" s="0" t="s">
        <v>29</v>
      </c>
      <c r="G225" s="0" t="s">
        <v>849</v>
      </c>
      <c r="H225" s="0" t="s">
        <v>849</v>
      </c>
      <c r="I225" s="0" t="s">
        <v>850</v>
      </c>
      <c r="J225" s="0" t="s">
        <v>850</v>
      </c>
      <c r="K225" s="0" t="s">
        <v>151</v>
      </c>
      <c r="L225" s="0" t="s">
        <v>32</v>
      </c>
      <c r="M225" s="0" t="s">
        <v>61</v>
      </c>
      <c r="N225" s="0" t="s">
        <v>851</v>
      </c>
      <c r="O225" s="0" t="s">
        <v>110</v>
      </c>
      <c r="P225" s="0" t="s">
        <v>689</v>
      </c>
      <c r="Q225" s="0" t="s">
        <v>151</v>
      </c>
      <c r="R225" s="0" t="s">
        <v>848</v>
      </c>
      <c r="S225" s="0" t="s">
        <v>851</v>
      </c>
      <c r="T225" s="0">
        <f>HYPERLINK("https://storage.sslt.ae/ItemVariation/08DCDEBF-3EBB-4BF0-8AA2-3DE60AE79970/6C2A1469-2663-439B-AA79-70A153D9A4FA.png","Variant Image")</f>
      </c>
      <c r="U225" s="0">
        <f>HYPERLINK("https://ec-qa-storage.kldlms.com/Item/08DCDEBF-3EBB-4BF0-8AA2-3DE60AE79970/69A1F2F1-8732-4392-8F21-99D13AD240C0.png","Thumbnail Image")</f>
      </c>
      <c r="V225" s="0">
        <f>HYPERLINK("https://ec-qa-storage.kldlms.com/ItemGallery/08DCDEBF-3EBB-4BF0-8AA2-3DE60AE79970/7FE8E324-8235-400D-ACD0-252A96E5E583.png","Gallery Image ")</f>
      </c>
      <c r="W225" s="0" t="s">
        <v>22</v>
      </c>
      <c r="X225" s="0" t="s">
        <v>852</v>
      </c>
    </row>
    <row r="226">
      <c r="P226" s="0" t="s">
        <v>693</v>
      </c>
      <c r="Q226" s="0" t="s">
        <v>151</v>
      </c>
      <c r="R226" s="0" t="s">
        <v>853</v>
      </c>
      <c r="S226" s="0" t="s">
        <v>854</v>
      </c>
      <c r="T226" s="0">
        <f>HYPERLINK("https://storage.sslt.ae/ItemVariation/08DCDEBF-3EBB-4BF0-8AA2-3DE60AE79970/D3A0223E-6E93-49A7-91C1-2372B623A58E.png","Variant Image")</f>
      </c>
      <c r="X226" s="0" t="s">
        <v>855</v>
      </c>
    </row>
    <row r="227">
      <c r="P227" s="0" t="s">
        <v>590</v>
      </c>
      <c r="Q227" s="0" t="s">
        <v>151</v>
      </c>
      <c r="R227" s="0" t="s">
        <v>856</v>
      </c>
      <c r="S227" s="0" t="s">
        <v>219</v>
      </c>
      <c r="T227" s="0">
        <f>HYPERLINK("https://storage.sslt.ae/ItemVariation/08DCDEBF-3EBB-4BF0-8AA2-3DE60AE79970/EC883795-4B08-4C86-AFE1-2B6524EAA4AC.png","Variant Image")</f>
      </c>
      <c r="X227" s="0" t="s">
        <v>857</v>
      </c>
    </row>
    <row r="228">
      <c r="P228" s="0" t="s">
        <v>593</v>
      </c>
      <c r="Q228" s="0" t="s">
        <v>151</v>
      </c>
      <c r="R228" s="0" t="s">
        <v>858</v>
      </c>
      <c r="S228" s="0" t="s">
        <v>851</v>
      </c>
      <c r="T228" s="0">
        <f>HYPERLINK("https://storage.sslt.ae/ItemVariation/08DCDEBF-3EBB-4BF0-8AA2-3DE60AE79970/EC230A8D-9D00-4D95-9867-57A0CC64A9A1.png","Variant Image")</f>
      </c>
      <c r="X228" s="0" t="s">
        <v>859</v>
      </c>
    </row>
    <row r="229">
      <c r="A229" s="0" t="s">
        <v>682</v>
      </c>
      <c r="B229" s="0" t="s">
        <v>682</v>
      </c>
      <c r="C229" s="0" t="s">
        <v>860</v>
      </c>
      <c r="D229" s="0" t="s">
        <v>684</v>
      </c>
      <c r="E229" s="0" t="s">
        <v>861</v>
      </c>
      <c r="F229" s="0" t="s">
        <v>29</v>
      </c>
      <c r="G229" s="0" t="s">
        <v>862</v>
      </c>
      <c r="H229" s="0" t="s">
        <v>862</v>
      </c>
      <c r="I229" s="0" t="s">
        <v>863</v>
      </c>
      <c r="J229" s="0" t="s">
        <v>863</v>
      </c>
      <c r="K229" s="0" t="s">
        <v>526</v>
      </c>
      <c r="L229" s="0" t="s">
        <v>32</v>
      </c>
      <c r="M229" s="0" t="s">
        <v>61</v>
      </c>
      <c r="N229" s="0" t="s">
        <v>100</v>
      </c>
      <c r="O229" s="0" t="s">
        <v>110</v>
      </c>
      <c r="P229" s="0" t="s">
        <v>689</v>
      </c>
      <c r="Q229" s="0" t="s">
        <v>736</v>
      </c>
      <c r="R229" s="0" t="s">
        <v>860</v>
      </c>
      <c r="S229" s="0" t="s">
        <v>100</v>
      </c>
      <c r="T229" s="0">
        <f>HYPERLINK("https://storage.sslt.ae/ItemVariation/08DCDEC6-85BE-4A5D-86E2-E8F1105129D4/671BCE1B-D2EC-4A95-BF8F-43B2D61C3DAE.webp","Variant Image")</f>
      </c>
      <c r="U229" s="0">
        <f>HYPERLINK("https://ec-qa-storage.kldlms.com/Item/08DCDEC6-85BE-4A5D-86E2-E8F1105129D4/2573F2E6-009F-414F-A1EE-275D7D931917.png","Thumbnail Image")</f>
      </c>
      <c r="V229" s="0">
        <f>HYPERLINK("https://ec-qa-storage.kldlms.com/ItemGallery/08DCDEC6-85BE-4A5D-86E2-E8F1105129D4/B66D34E5-44EF-4A7A-BC5F-C7C294E64E6A.png","Gallery Image ")</f>
      </c>
      <c r="W229" s="0" t="s">
        <v>22</v>
      </c>
      <c r="X229" s="0" t="s">
        <v>864</v>
      </c>
    </row>
    <row r="230">
      <c r="P230" s="0" t="s">
        <v>693</v>
      </c>
      <c r="Q230" s="0" t="s">
        <v>526</v>
      </c>
      <c r="R230" s="0" t="s">
        <v>865</v>
      </c>
      <c r="S230" s="0" t="s">
        <v>866</v>
      </c>
      <c r="T230" s="0">
        <f>HYPERLINK("https://storage.sslt.ae/ItemVariation/08DCDEC6-85BE-4A5D-86E2-E8F1105129D4/29DCEAA3-51B9-489A-A659-4D462441C9C5.png","Variant Image")</f>
      </c>
      <c r="X230" s="0" t="s">
        <v>867</v>
      </c>
    </row>
    <row r="231">
      <c r="P231" s="0" t="s">
        <v>590</v>
      </c>
      <c r="Q231" s="0" t="s">
        <v>539</v>
      </c>
      <c r="R231" s="0" t="s">
        <v>868</v>
      </c>
      <c r="S231" s="0" t="s">
        <v>772</v>
      </c>
      <c r="T231" s="0">
        <f>HYPERLINK("https://storage.sslt.ae/ItemVariation/08DCDEC6-85BE-4A5D-86E2-E8F1105129D4/D9852174-3654-4AFE-91E4-0B4EDA271FE8.webp","Variant Image")</f>
      </c>
      <c r="X231" s="0" t="s">
        <v>869</v>
      </c>
    </row>
    <row r="232">
      <c r="P232" s="0" t="s">
        <v>134</v>
      </c>
      <c r="Q232" s="0" t="s">
        <v>539</v>
      </c>
      <c r="R232" s="0" t="s">
        <v>870</v>
      </c>
      <c r="S232" s="0" t="s">
        <v>280</v>
      </c>
      <c r="T232" s="0">
        <f>HYPERLINK("https://storage.sslt.ae/ItemVariation/08DCDEC6-85BE-4A5D-86E2-E8F1105129D4/EF1E4669-DB3B-4E8F-9BF2-DD23B048D30D.webp","Variant Image")</f>
      </c>
      <c r="X232" s="0" t="s">
        <v>871</v>
      </c>
    </row>
    <row r="233">
      <c r="P233" s="0" t="s">
        <v>593</v>
      </c>
      <c r="Q233" s="0" t="s">
        <v>736</v>
      </c>
      <c r="R233" s="0" t="s">
        <v>872</v>
      </c>
      <c r="S233" s="0" t="s">
        <v>280</v>
      </c>
      <c r="T233" s="0">
        <f>HYPERLINK("https://storage.sslt.ae/ItemVariation/08DCDEC6-85BE-4A5D-86E2-E8F1105129D4/70782871-B4DE-44C8-A418-9CECC6450B33.webp","Variant Image")</f>
      </c>
      <c r="X233" s="0" t="s">
        <v>873</v>
      </c>
    </row>
    <row r="234">
      <c r="A234" s="0" t="s">
        <v>682</v>
      </c>
      <c r="B234" s="0" t="s">
        <v>682</v>
      </c>
      <c r="C234" s="0" t="s">
        <v>874</v>
      </c>
      <c r="D234" s="0" t="s">
        <v>684</v>
      </c>
      <c r="E234" s="0" t="s">
        <v>861</v>
      </c>
      <c r="F234" s="0" t="s">
        <v>29</v>
      </c>
      <c r="G234" s="0" t="s">
        <v>875</v>
      </c>
      <c r="H234" s="0" t="s">
        <v>875</v>
      </c>
      <c r="I234" s="0" t="s">
        <v>876</v>
      </c>
      <c r="J234" s="0" t="s">
        <v>876</v>
      </c>
      <c r="K234" s="0" t="s">
        <v>877</v>
      </c>
      <c r="L234" s="0" t="s">
        <v>32</v>
      </c>
      <c r="M234" s="0" t="s">
        <v>61</v>
      </c>
      <c r="N234" s="0" t="s">
        <v>202</v>
      </c>
      <c r="O234" s="0" t="s">
        <v>110</v>
      </c>
      <c r="P234" s="0" t="s">
        <v>693</v>
      </c>
      <c r="Q234" s="0" t="s">
        <v>780</v>
      </c>
      <c r="R234" s="0" t="s">
        <v>878</v>
      </c>
      <c r="S234" s="0" t="s">
        <v>164</v>
      </c>
      <c r="T234" s="0">
        <f>HYPERLINK("https://storage.sslt.ae/ItemVariation/08DCDECC-CD6B-452B-801D-74878F62E238/34AF015E-20A8-4A06-B264-7FE5DB9F1E7D.png","Variant Image")</f>
      </c>
      <c r="U234" s="0">
        <f>HYPERLINK("https://ec-qa-storage.kldlms.com/Item/08DCDECC-CD6B-452B-801D-74878F62E238/5F3CCB71-62CB-4081-862C-622CB60DD2F3.png","Thumbnail Image")</f>
      </c>
      <c r="V234" s="0">
        <f>HYPERLINK("https://ec-qa-storage.kldlms.com/ItemGallery/08DCDECC-CD6B-452B-801D-74878F62E238/0CB289FD-71F4-46C7-94F4-24AA29FFC0CB.png","Gallery Image ")</f>
      </c>
      <c r="W234" s="0" t="s">
        <v>22</v>
      </c>
      <c r="X234" s="0" t="s">
        <v>879</v>
      </c>
    </row>
    <row r="235">
      <c r="P235" s="0" t="s">
        <v>590</v>
      </c>
      <c r="Q235" s="0" t="s">
        <v>880</v>
      </c>
      <c r="R235" s="0" t="s">
        <v>881</v>
      </c>
      <c r="S235" s="0" t="s">
        <v>164</v>
      </c>
      <c r="T235" s="0">
        <f>HYPERLINK("https://storage.sslt.ae/ItemVariation/08DCDECC-CD6B-452B-801D-74878F62E238/EB912E15-0B94-4069-B067-26624D56D745.png","Variant Image")</f>
      </c>
      <c r="X235" s="0" t="s">
        <v>882</v>
      </c>
    </row>
    <row r="236">
      <c r="P236" s="0" t="s">
        <v>593</v>
      </c>
      <c r="Q236" s="0" t="s">
        <v>780</v>
      </c>
      <c r="R236" s="0" t="s">
        <v>874</v>
      </c>
      <c r="S236" s="0" t="s">
        <v>202</v>
      </c>
      <c r="T236" s="0">
        <f>HYPERLINK("https://storage.sslt.ae/ItemVariation/08DCDECC-CD6B-452B-801D-74878F62E238/EDD58083-C89B-4CB2-B469-85C732E2587A.png","Variant Image")</f>
      </c>
      <c r="X236" s="0" t="s">
        <v>883</v>
      </c>
    </row>
    <row r="237">
      <c r="A237" s="0" t="s">
        <v>682</v>
      </c>
      <c r="B237" s="0" t="s">
        <v>682</v>
      </c>
      <c r="C237" s="0" t="s">
        <v>884</v>
      </c>
      <c r="D237" s="0" t="s">
        <v>684</v>
      </c>
      <c r="E237" s="0" t="s">
        <v>861</v>
      </c>
      <c r="F237" s="0" t="s">
        <v>29</v>
      </c>
      <c r="G237" s="0" t="s">
        <v>885</v>
      </c>
      <c r="H237" s="0" t="s">
        <v>885</v>
      </c>
      <c r="I237" s="0" t="s">
        <v>886</v>
      </c>
      <c r="J237" s="0" t="s">
        <v>886</v>
      </c>
      <c r="K237" s="0" t="s">
        <v>674</v>
      </c>
      <c r="L237" s="0" t="s">
        <v>32</v>
      </c>
      <c r="M237" s="0" t="s">
        <v>61</v>
      </c>
      <c r="N237" s="0" t="s">
        <v>202</v>
      </c>
      <c r="O237" s="0" t="s">
        <v>110</v>
      </c>
      <c r="P237" s="0" t="s">
        <v>689</v>
      </c>
      <c r="Q237" s="0" t="s">
        <v>837</v>
      </c>
      <c r="R237" s="0" t="s">
        <v>887</v>
      </c>
      <c r="S237" s="0" t="s">
        <v>202</v>
      </c>
      <c r="T237" s="0">
        <f>HYPERLINK("https://storage.sslt.ae/ItemVariation/08DCDECF-0369-485D-8D07-F3B17A9E298D/9E543D67-5596-44D1-8EB1-544956B1525F.webp","Variant Image")</f>
      </c>
      <c r="U237" s="0">
        <f>HYPERLINK("https://ec-qa-storage.kldlms.com/Item/08DCDECF-0369-485D-8D07-F3B17A9E298D/E57D3FFE-C16A-41EB-9268-09DA47DEF7EE.png","Thumbnail Image")</f>
      </c>
      <c r="V237" s="0">
        <f>HYPERLINK("https://ec-qa-storage.kldlms.com/ItemGallery/08DCDECF-0369-485D-8D07-F3B17A9E298D/1AD262E6-6BA2-4637-8ECD-10E2420F60CF.png","Gallery Image ")</f>
      </c>
      <c r="W237" s="0" t="s">
        <v>22</v>
      </c>
      <c r="X237" s="0" t="s">
        <v>888</v>
      </c>
    </row>
    <row r="238">
      <c r="P238" s="0" t="s">
        <v>693</v>
      </c>
      <c r="Q238" s="0" t="s">
        <v>837</v>
      </c>
      <c r="R238" s="0" t="s">
        <v>884</v>
      </c>
      <c r="S238" s="0" t="s">
        <v>202</v>
      </c>
      <c r="T238" s="0">
        <f>HYPERLINK("https://storage.sslt.ae/ItemVariation/08DCDECF-0369-485D-8D07-F3B17A9E298D/3D11A0DE-0237-4671-9024-B36BBAA8CE1B.png","Variant Image")</f>
      </c>
      <c r="X238" s="0" t="s">
        <v>889</v>
      </c>
    </row>
    <row r="239">
      <c r="P239" s="0" t="s">
        <v>590</v>
      </c>
      <c r="Q239" s="0" t="s">
        <v>674</v>
      </c>
      <c r="R239" s="0" t="s">
        <v>890</v>
      </c>
      <c r="S239" s="0" t="s">
        <v>218</v>
      </c>
      <c r="T239" s="0">
        <f>HYPERLINK("https://storage.sslt.ae/ItemVariation/08DCDECF-0369-485D-8D07-F3B17A9E298D/B686B0C6-4AA0-49A9-8129-B92C6C0FF79E.webp","Variant Image")</f>
      </c>
      <c r="X239" s="0" t="s">
        <v>891</v>
      </c>
    </row>
    <row r="240">
      <c r="A240" s="0" t="s">
        <v>682</v>
      </c>
      <c r="B240" s="0" t="s">
        <v>682</v>
      </c>
      <c r="C240" s="0" t="s">
        <v>892</v>
      </c>
      <c r="D240" s="0" t="s">
        <v>684</v>
      </c>
      <c r="E240" s="0" t="s">
        <v>861</v>
      </c>
      <c r="F240" s="0" t="s">
        <v>29</v>
      </c>
      <c r="G240" s="0" t="s">
        <v>893</v>
      </c>
      <c r="H240" s="0" t="s">
        <v>893</v>
      </c>
      <c r="I240" s="0" t="s">
        <v>894</v>
      </c>
      <c r="J240" s="0" t="s">
        <v>894</v>
      </c>
      <c r="K240" s="0" t="s">
        <v>780</v>
      </c>
      <c r="L240" s="0" t="s">
        <v>32</v>
      </c>
      <c r="M240" s="0" t="s">
        <v>61</v>
      </c>
      <c r="N240" s="0" t="s">
        <v>302</v>
      </c>
      <c r="O240" s="0" t="s">
        <v>110</v>
      </c>
      <c r="P240" s="0" t="s">
        <v>689</v>
      </c>
      <c r="Q240" s="0" t="s">
        <v>780</v>
      </c>
      <c r="R240" s="0" t="s">
        <v>892</v>
      </c>
      <c r="S240" s="0" t="s">
        <v>302</v>
      </c>
      <c r="T240" s="0">
        <f>HYPERLINK("https://storage.sslt.ae/ItemVariation/08DCDED2-018E-435F-8B37-AC15384A2F2F/A1155E7F-ED11-4A16-8175-DF16F6A9CD94.png","Variant Image")</f>
      </c>
      <c r="U240" s="0">
        <f>HYPERLINK("https://ec-qa-storage.kldlms.com/Item/08DCDED2-018E-435F-8B37-AC15384A2F2F/1C297B29-F4EE-4909-945C-003CE8B7A2ED.png","Thumbnail Image")</f>
      </c>
      <c r="V240" s="0">
        <f>HYPERLINK("https://ec-qa-storage.kldlms.com/ItemGallery/08DCDED2-018E-435F-8B37-AC15384A2F2F/409B8E2B-9D68-46AE-9D2D-5C5DBFB89851.png","Gallery Image ")</f>
      </c>
      <c r="W240" s="0" t="s">
        <v>22</v>
      </c>
      <c r="X240" s="0" t="s">
        <v>895</v>
      </c>
    </row>
    <row r="241">
      <c r="P241" s="0" t="s">
        <v>693</v>
      </c>
      <c r="Q241" s="0" t="s">
        <v>780</v>
      </c>
      <c r="R241" s="0" t="s">
        <v>896</v>
      </c>
      <c r="S241" s="0" t="s">
        <v>302</v>
      </c>
      <c r="T241" s="0">
        <f>HYPERLINK("https://storage.sslt.ae/ItemVariation/08DCDED2-018E-435F-8B37-AC15384A2F2F/8C503E7E-A9F3-493A-AABC-838DBB1214D1.png","Variant Image")</f>
      </c>
      <c r="X241" s="0" t="s">
        <v>897</v>
      </c>
    </row>
    <row r="242">
      <c r="P242" s="0" t="s">
        <v>590</v>
      </c>
      <c r="Q242" s="0" t="s">
        <v>780</v>
      </c>
      <c r="R242" s="0" t="s">
        <v>898</v>
      </c>
      <c r="S242" s="0" t="s">
        <v>302</v>
      </c>
      <c r="T242" s="0">
        <f>HYPERLINK("https://storage.sslt.ae/ItemVariation/08DCDED2-018E-435F-8B37-AC15384A2F2F/DFA57D43-E1B8-45B2-8C08-5F048F90BCC9.png","Variant Image")</f>
      </c>
      <c r="X242" s="0" t="s">
        <v>899</v>
      </c>
    </row>
    <row r="243">
      <c r="P243" s="0" t="s">
        <v>593</v>
      </c>
      <c r="Q243" s="0" t="s">
        <v>780</v>
      </c>
      <c r="R243" s="0" t="s">
        <v>900</v>
      </c>
      <c r="S243" s="0" t="s">
        <v>302</v>
      </c>
      <c r="T243" s="0">
        <f>HYPERLINK("https://storage.sslt.ae/ItemVariation/08DCDED2-018E-435F-8B37-AC15384A2F2F/FE772341-724D-4116-80F3-C81197C4288E.png","Variant Image")</f>
      </c>
      <c r="X243" s="0" t="s">
        <v>901</v>
      </c>
    </row>
    <row r="244">
      <c r="A244" s="0" t="s">
        <v>682</v>
      </c>
      <c r="B244" s="0" t="s">
        <v>682</v>
      </c>
      <c r="C244" s="0" t="s">
        <v>902</v>
      </c>
      <c r="D244" s="0" t="s">
        <v>684</v>
      </c>
      <c r="E244" s="0" t="s">
        <v>685</v>
      </c>
      <c r="F244" s="0" t="s">
        <v>29</v>
      </c>
      <c r="G244" s="0" t="s">
        <v>903</v>
      </c>
      <c r="H244" s="0" t="s">
        <v>903</v>
      </c>
      <c r="I244" s="0" t="s">
        <v>904</v>
      </c>
      <c r="J244" s="0" t="s">
        <v>905</v>
      </c>
      <c r="K244" s="0" t="s">
        <v>646</v>
      </c>
      <c r="L244" s="0" t="s">
        <v>32</v>
      </c>
      <c r="M244" s="0" t="s">
        <v>61</v>
      </c>
      <c r="N244" s="0" t="s">
        <v>100</v>
      </c>
      <c r="O244" s="0" t="s">
        <v>110</v>
      </c>
      <c r="P244" s="0" t="s">
        <v>693</v>
      </c>
      <c r="Q244" s="0" t="s">
        <v>701</v>
      </c>
      <c r="R244" s="0" t="s">
        <v>906</v>
      </c>
      <c r="S244" s="0" t="s">
        <v>109</v>
      </c>
      <c r="T244" s="0">
        <f>HYPERLINK("https://storage.sslt.ae/ItemVariation/08DCDEE0-3816-479B-8FD5-D63D43B51C53/C0023A4D-AB9F-4416-B883-C32B2FB69B73.png","Variant Image")</f>
      </c>
      <c r="U244" s="0">
        <f>HYPERLINK("https://ec-qa-storage.kldlms.com/Item/08DCDEE0-3816-479B-8FD5-D63D43B51C53/15CAB673-C4AE-4019-A242-5624CCA6F239.png","Thumbnail Image")</f>
      </c>
      <c r="V244" s="0">
        <f>HYPERLINK("https://ec-qa-storage.kldlms.com/ItemGallery/08DCDEE0-3816-479B-8FD5-D63D43B51C53/AE7C21DE-5DA8-4F08-9CA3-D1394449B16B.png","Gallery Image ")</f>
      </c>
      <c r="W244" s="0" t="s">
        <v>22</v>
      </c>
      <c r="X244" s="0" t="s">
        <v>907</v>
      </c>
    </row>
    <row r="245">
      <c r="P245" s="0" t="s">
        <v>590</v>
      </c>
      <c r="Q245" s="0" t="s">
        <v>701</v>
      </c>
      <c r="R245" s="0" t="s">
        <v>908</v>
      </c>
      <c r="S245" s="0" t="s">
        <v>109</v>
      </c>
      <c r="T245" s="0">
        <f>HYPERLINK("https://storage.sslt.ae/ItemVariation/08DCDEE0-3816-479B-8FD5-D63D43B51C53/14E9CD4A-A163-4ECE-B315-C965BB4316F3.png","Variant Image")</f>
      </c>
      <c r="X245" s="0" t="s">
        <v>909</v>
      </c>
    </row>
    <row r="246">
      <c r="P246" s="0" t="s">
        <v>134</v>
      </c>
      <c r="Q246" s="0" t="s">
        <v>701</v>
      </c>
      <c r="R246" s="0" t="s">
        <v>910</v>
      </c>
      <c r="S246" s="0" t="s">
        <v>164</v>
      </c>
      <c r="T246" s="0">
        <f>HYPERLINK("https://storage.sslt.ae/ItemVariation/08DCDEE0-3816-479B-8FD5-D63D43B51C53/608E5C61-9CF8-43EB-A119-2D91E8277D7F.png","Variant Image")</f>
      </c>
      <c r="X246" s="0" t="s">
        <v>911</v>
      </c>
    </row>
    <row r="247">
      <c r="P247" s="0" t="s">
        <v>593</v>
      </c>
      <c r="Q247" s="0" t="s">
        <v>701</v>
      </c>
      <c r="R247" s="0" t="s">
        <v>902</v>
      </c>
      <c r="S247" s="0" t="s">
        <v>100</v>
      </c>
      <c r="T247" s="0">
        <f>HYPERLINK("https://storage.sslt.ae/ItemVariation/08DCDEE0-3816-479B-8FD5-D63D43B51C53/B8866445-E1D9-4FF5-B314-35F77031103A.png","Variant Image")</f>
      </c>
      <c r="X247" s="0" t="s">
        <v>912</v>
      </c>
    </row>
    <row r="248">
      <c r="A248" s="0" t="s">
        <v>913</v>
      </c>
      <c r="B248" s="0" t="s">
        <v>682</v>
      </c>
      <c r="C248" s="0" t="s">
        <v>914</v>
      </c>
      <c r="D248" s="0" t="s">
        <v>684</v>
      </c>
      <c r="E248" s="0" t="s">
        <v>28</v>
      </c>
      <c r="F248" s="0" t="s">
        <v>29</v>
      </c>
      <c r="G248" s="0" t="s">
        <v>915</v>
      </c>
      <c r="H248" s="0" t="s">
        <v>915</v>
      </c>
      <c r="I248" s="0" t="s">
        <v>916</v>
      </c>
      <c r="J248" s="0" t="s">
        <v>916</v>
      </c>
      <c r="K248" s="0" t="s">
        <v>539</v>
      </c>
      <c r="L248" s="0" t="s">
        <v>32</v>
      </c>
      <c r="M248" s="0" t="s">
        <v>61</v>
      </c>
      <c r="N248" s="0" t="s">
        <v>772</v>
      </c>
      <c r="O248" s="0" t="s">
        <v>110</v>
      </c>
      <c r="P248" s="0" t="s">
        <v>593</v>
      </c>
      <c r="Q248" s="0" t="s">
        <v>539</v>
      </c>
      <c r="R248" s="0" t="s">
        <v>914</v>
      </c>
      <c r="S248" s="0" t="s">
        <v>772</v>
      </c>
      <c r="T248" s="0">
        <f>HYPERLINK("https://storage.sslt.ae/ItemVariation/08DCDEEA-460D-47F6-8DA7-0B55E0F8B053/805CAF6A-A597-4235-8307-292646A323B0.png","Variant Image")</f>
      </c>
      <c r="U248" s="0">
        <f>HYPERLINK("https://ec-qa-storage.kldlms.com/Item/08DCDEEA-460D-47F6-8DA7-0B55E0F8B053/988EBE27-1D65-4F62-8518-00CD42E20138.png","Thumbnail Image")</f>
      </c>
      <c r="V248" s="0">
        <f>HYPERLINK("https://ec-qa-storage.kldlms.com/ItemGallery/08DCDEEA-460D-47F6-8DA7-0B55E0F8B053/01EDA849-A0E2-4215-B8A6-C64A6B1EDA8E.png","Gallery Image ")</f>
      </c>
      <c r="W248" s="0" t="s">
        <v>22</v>
      </c>
      <c r="X248" s="0" t="s">
        <v>917</v>
      </c>
    </row>
    <row r="249">
      <c r="A249" s="0" t="s">
        <v>530</v>
      </c>
      <c r="B249" s="0" t="s">
        <v>530</v>
      </c>
      <c r="C249" s="0" t="s">
        <v>918</v>
      </c>
      <c r="D249" s="0" t="s">
        <v>27</v>
      </c>
      <c r="E249" s="0" t="s">
        <v>29</v>
      </c>
      <c r="F249" s="0" t="s">
        <v>29</v>
      </c>
      <c r="G249" s="0" t="s">
        <v>919</v>
      </c>
      <c r="H249" s="0" t="s">
        <v>919</v>
      </c>
      <c r="I249" s="0" t="s">
        <v>920</v>
      </c>
      <c r="J249" s="0" t="s">
        <v>921</v>
      </c>
      <c r="K249" s="0" t="s">
        <v>922</v>
      </c>
      <c r="L249" s="0" t="s">
        <v>32</v>
      </c>
      <c r="M249" s="0" t="s">
        <v>61</v>
      </c>
      <c r="N249" s="0" t="s">
        <v>109</v>
      </c>
      <c r="O249" s="0" t="s">
        <v>110</v>
      </c>
      <c r="P249" s="0" t="s">
        <v>923</v>
      </c>
      <c r="Q249" s="0" t="s">
        <v>924</v>
      </c>
      <c r="R249" s="0" t="s">
        <v>925</v>
      </c>
      <c r="S249" s="0" t="s">
        <v>164</v>
      </c>
      <c r="T249" s="0">
        <f>HYPERLINK("https://storage.sslt.ae/ItemVariation/08DCDF89-0B34-40AB-8143-05CF7665002C/DF6E2E71-C59F-4E9D-B827-C785643C567C.png","Variant Image")</f>
      </c>
      <c r="U249" s="0">
        <f>HYPERLINK("https://ec-qa-storage.kldlms.com/Item/08DCDF89-0B34-40AB-8143-05CF7665002C/C4C0E2C1-19D4-4FB2-AF28-B7834453F975.png","Thumbnail Image")</f>
      </c>
      <c r="V249" s="0">
        <f>HYPERLINK("https://ec-qa-storage.kldlms.com/ItemGallery/08DCDF89-0B34-40AB-8143-05CF7665002C/4FEAF5E0-9F42-4C81-86A6-B4FF7C86B1ED.png","Gallery Image ")</f>
      </c>
      <c r="W249" s="0" t="s">
        <v>22</v>
      </c>
      <c r="X249" s="0" t="s">
        <v>926</v>
      </c>
    </row>
    <row r="250">
      <c r="P250" s="0" t="s">
        <v>36</v>
      </c>
      <c r="Q250" s="0" t="s">
        <v>922</v>
      </c>
      <c r="R250" s="0" t="s">
        <v>918</v>
      </c>
      <c r="S250" s="0" t="s">
        <v>109</v>
      </c>
      <c r="T250" s="0">
        <f>HYPERLINK("https://storage.sslt.ae/ItemVariation/08DCDF89-0B34-40AB-8143-05CF7665002C/1E3AB8DF-FEF0-42BD-96C8-6190F0BE0D32.webp","Variant Image")</f>
      </c>
      <c r="X250" s="0" t="s">
        <v>927</v>
      </c>
    </row>
    <row r="251">
      <c r="A251" s="0" t="s">
        <v>530</v>
      </c>
      <c r="B251" s="0" t="s">
        <v>530</v>
      </c>
      <c r="C251" s="0" t="s">
        <v>928</v>
      </c>
      <c r="D251" s="0" t="s">
        <v>27</v>
      </c>
      <c r="E251" s="0" t="s">
        <v>29</v>
      </c>
      <c r="F251" s="0" t="s">
        <v>29</v>
      </c>
      <c r="G251" s="0" t="s">
        <v>929</v>
      </c>
      <c r="H251" s="0" t="s">
        <v>929</v>
      </c>
      <c r="I251" s="0" t="s">
        <v>930</v>
      </c>
      <c r="J251" s="0" t="s">
        <v>931</v>
      </c>
      <c r="K251" s="0" t="s">
        <v>408</v>
      </c>
      <c r="L251" s="0" t="s">
        <v>32</v>
      </c>
      <c r="M251" s="0" t="s">
        <v>61</v>
      </c>
      <c r="N251" s="0" t="s">
        <v>109</v>
      </c>
      <c r="O251" s="0" t="s">
        <v>110</v>
      </c>
      <c r="P251" s="0" t="s">
        <v>932</v>
      </c>
      <c r="Q251" s="0" t="s">
        <v>933</v>
      </c>
      <c r="R251" s="0" t="s">
        <v>934</v>
      </c>
      <c r="S251" s="0" t="s">
        <v>155</v>
      </c>
      <c r="T251" s="0">
        <f>HYPERLINK("https://storage.sslt.ae/ItemVariation/08DCDF8E-1332-4B98-8315-7F6DB614A99E/5B3F5AF3-9BC8-4634-B803-DCF2688301BF.webp","Variant Image")</f>
      </c>
      <c r="U251" s="0">
        <f>HYPERLINK("https://ec-qa-storage.kldlms.com/Item/08DCDF8E-1332-4B98-8315-7F6DB614A99E/CDDEAB46-7031-405C-AB85-ED779B1177E1.png","Thumbnail Image")</f>
      </c>
      <c r="V251" s="0">
        <f>HYPERLINK("https://ec-qa-storage.kldlms.com/ItemGallery/08DCDF8E-1332-4B98-8315-7F6DB614A99E/46EDD100-47C5-4C0A-B1EC-5D043F15FF8B.png","Gallery Image ")</f>
      </c>
      <c r="W251" s="0" t="s">
        <v>22</v>
      </c>
      <c r="X251" s="0" t="s">
        <v>935</v>
      </c>
    </row>
    <row r="252">
      <c r="P252" s="0" t="s">
        <v>36</v>
      </c>
      <c r="Q252" s="0" t="s">
        <v>408</v>
      </c>
      <c r="R252" s="0" t="s">
        <v>928</v>
      </c>
      <c r="S252" s="0" t="s">
        <v>109</v>
      </c>
      <c r="T252" s="0">
        <f>HYPERLINK("https://storage.sslt.ae/ItemVariation/08DCDF8E-1332-4B98-8315-7F6DB614A99E/4E3E3331-EF57-4872-BB83-64A81A190668.webp","Variant Image")</f>
      </c>
      <c r="X252" s="0" t="s">
        <v>936</v>
      </c>
    </row>
    <row r="253">
      <c r="A253" s="0" t="s">
        <v>530</v>
      </c>
      <c r="B253" s="0" t="s">
        <v>530</v>
      </c>
      <c r="C253" s="0" t="s">
        <v>937</v>
      </c>
      <c r="D253" s="0" t="s">
        <v>27</v>
      </c>
      <c r="E253" s="0" t="s">
        <v>29</v>
      </c>
      <c r="F253" s="0" t="s">
        <v>29</v>
      </c>
      <c r="G253" s="0" t="s">
        <v>938</v>
      </c>
      <c r="H253" s="0" t="s">
        <v>938</v>
      </c>
      <c r="I253" s="0" t="s">
        <v>939</v>
      </c>
      <c r="J253" s="0" t="s">
        <v>940</v>
      </c>
      <c r="K253" s="0" t="s">
        <v>941</v>
      </c>
      <c r="L253" s="0" t="s">
        <v>32</v>
      </c>
      <c r="M253" s="0" t="s">
        <v>61</v>
      </c>
      <c r="N253" s="0" t="s">
        <v>512</v>
      </c>
      <c r="O253" s="0" t="s">
        <v>110</v>
      </c>
      <c r="P253" s="0" t="s">
        <v>36</v>
      </c>
      <c r="Q253" s="0" t="s">
        <v>942</v>
      </c>
      <c r="R253" s="0" t="s">
        <v>937</v>
      </c>
      <c r="S253" s="0" t="s">
        <v>512</v>
      </c>
      <c r="T253" s="0">
        <f>HYPERLINK("https://storage.sslt.ae/ItemVariation/08DCDF93-9D69-4057-8BFA-6568722962DC/853276CD-1260-47D3-B18D-E586F90995C0.webp","Variant Image")</f>
      </c>
      <c r="U253" s="0">
        <f>HYPERLINK("https://ec-qa-storage.kldlms.com/Item/08DCDF93-9D69-4057-8BFA-6568722962DC/6E1B2E39-EC26-4276-A8FF-829EE255D448.png","Thumbnail Image")</f>
      </c>
      <c r="V253" s="0">
        <f>HYPERLINK("https://ec-qa-storage.kldlms.com/ItemGallery/08DCDF93-9D69-4057-8BFA-6568722962DC/5B5A7A3B-C14D-4442-AFEE-B3B0FDD3AEEE.png","Gallery Image ")</f>
      </c>
      <c r="W253" s="0" t="s">
        <v>22</v>
      </c>
      <c r="X253" s="0" t="s">
        <v>943</v>
      </c>
    </row>
    <row r="254">
      <c r="A254" s="0" t="s">
        <v>530</v>
      </c>
      <c r="B254" s="0" t="s">
        <v>530</v>
      </c>
      <c r="C254" s="0" t="s">
        <v>944</v>
      </c>
      <c r="D254" s="0" t="s">
        <v>27</v>
      </c>
      <c r="E254" s="0" t="s">
        <v>29</v>
      </c>
      <c r="F254" s="0" t="s">
        <v>29</v>
      </c>
      <c r="G254" s="0" t="s">
        <v>945</v>
      </c>
      <c r="H254" s="0" t="s">
        <v>945</v>
      </c>
      <c r="I254" s="0" t="s">
        <v>946</v>
      </c>
      <c r="J254" s="0" t="s">
        <v>947</v>
      </c>
      <c r="K254" s="0" t="s">
        <v>948</v>
      </c>
      <c r="L254" s="0" t="s">
        <v>32</v>
      </c>
      <c r="M254" s="0" t="s">
        <v>61</v>
      </c>
      <c r="N254" s="0" t="s">
        <v>276</v>
      </c>
      <c r="O254" s="0" t="s">
        <v>110</v>
      </c>
      <c r="P254" s="0" t="s">
        <v>932</v>
      </c>
      <c r="Q254" s="0" t="s">
        <v>949</v>
      </c>
      <c r="R254" s="0" t="s">
        <v>950</v>
      </c>
      <c r="S254" s="0" t="s">
        <v>276</v>
      </c>
      <c r="T254" s="0">
        <f>HYPERLINK("https://storage.sslt.ae/ItemVariation/08DCDF95-4706-41D9-8579-2F3FE1F3A29F/D98A1BEB-F760-41AF-80E4-B178EA931848.webp","Variant Image")</f>
      </c>
      <c r="U254" s="0">
        <f>HYPERLINK("https://ec-qa-storage.kldlms.com/Item/08DCDF95-4706-41D9-8579-2F3FE1F3A29F/C835DC98-45E5-4907-B5E9-9BC7EA342EF2.png","Thumbnail Image")</f>
      </c>
      <c r="V254" s="0">
        <f>HYPERLINK("https://ec-qa-storage.kldlms.com/ItemGallery/08DCDF95-4706-41D9-8579-2F3FE1F3A29F/E6FCFDFC-5A6E-43D2-9312-2BB7E627F2F3.png","Gallery Image ")</f>
      </c>
      <c r="W254" s="0" t="s">
        <v>22</v>
      </c>
      <c r="X254" s="0" t="s">
        <v>951</v>
      </c>
    </row>
    <row r="255">
      <c r="P255" s="0" t="s">
        <v>923</v>
      </c>
      <c r="Q255" s="0" t="s">
        <v>949</v>
      </c>
      <c r="R255" s="0" t="s">
        <v>952</v>
      </c>
      <c r="S255" s="0" t="s">
        <v>164</v>
      </c>
      <c r="T255" s="0">
        <f>HYPERLINK("https://storage.sslt.ae/ItemVariation/08DCDF95-4706-41D9-8579-2F3FE1F3A29F/5FC62F10-7A51-4ACF-B47D-90B88835D69E.png","Variant Image")</f>
      </c>
      <c r="X255" s="0" t="s">
        <v>953</v>
      </c>
    </row>
    <row r="256">
      <c r="P256" s="0" t="s">
        <v>36</v>
      </c>
      <c r="Q256" s="0" t="s">
        <v>954</v>
      </c>
      <c r="R256" s="0" t="s">
        <v>944</v>
      </c>
      <c r="S256" s="0" t="s">
        <v>232</v>
      </c>
      <c r="T256" s="0">
        <f>HYPERLINK("https://storage.sslt.ae/ItemVariation/08DCDF95-4706-41D9-8579-2F3FE1F3A29F/1EE96AC3-F8A0-45BA-B651-340B58186D4F.webp","Variant Image")</f>
      </c>
      <c r="X256" s="0" t="s">
        <v>955</v>
      </c>
    </row>
    <row r="257">
      <c r="A257" s="0" t="s">
        <v>529</v>
      </c>
      <c r="B257" s="0" t="s">
        <v>530</v>
      </c>
      <c r="C257" s="0" t="s">
        <v>956</v>
      </c>
      <c r="D257" s="0" t="s">
        <v>27</v>
      </c>
      <c r="E257" s="0" t="s">
        <v>29</v>
      </c>
      <c r="F257" s="0" t="s">
        <v>29</v>
      </c>
      <c r="G257" s="0" t="s">
        <v>957</v>
      </c>
      <c r="H257" s="0" t="s">
        <v>957</v>
      </c>
      <c r="I257" s="0" t="s">
        <v>958</v>
      </c>
      <c r="J257" s="0" t="s">
        <v>959</v>
      </c>
      <c r="K257" s="0" t="s">
        <v>108</v>
      </c>
      <c r="L257" s="0" t="s">
        <v>32</v>
      </c>
      <c r="M257" s="0" t="s">
        <v>61</v>
      </c>
      <c r="N257" s="0" t="s">
        <v>110</v>
      </c>
      <c r="O257" s="0" t="s">
        <v>110</v>
      </c>
      <c r="P257" s="0" t="s">
        <v>932</v>
      </c>
      <c r="Q257" s="0" t="s">
        <v>960</v>
      </c>
      <c r="R257" s="0" t="s">
        <v>961</v>
      </c>
      <c r="S257" s="0" t="s">
        <v>110</v>
      </c>
      <c r="T257" s="0">
        <f>HYPERLINK("https://storage.sslt.ae/ItemVariation/08DCE201-5A76-4A10-877B-90EDA50678B4/EBAA1016-15A4-4CFF-9943-315FBC1B7E62.webp","Variant Image")</f>
      </c>
      <c r="U257" s="0">
        <f>HYPERLINK("https://ec-qa-storage.kldlms.com/Item/08DCE201-5A76-4A10-877B-90EDA50678B4/29612585-7B05-41C6-BF74-39AE5006112F.png","Thumbnail Image")</f>
      </c>
      <c r="V257" s="0">
        <f>HYPERLINK("https://ec-qa-storage.kldlms.com/ItemGallery/08DCE201-5A76-4A10-877B-90EDA50678B4/04AAB75A-0C74-4994-AF9B-BBD162BE1EBB.png","Gallery Image ")</f>
      </c>
      <c r="W257" s="0" t="s">
        <v>22</v>
      </c>
      <c r="X257" s="0" t="s">
        <v>962</v>
      </c>
    </row>
    <row r="258">
      <c r="P258" s="0" t="s">
        <v>923</v>
      </c>
      <c r="Q258" s="0" t="s">
        <v>963</v>
      </c>
      <c r="R258" s="0" t="s">
        <v>964</v>
      </c>
      <c r="S258" s="0" t="s">
        <v>404</v>
      </c>
      <c r="T258" s="0">
        <f>HYPERLINK("https://storage.sslt.ae/ItemVariation/08DCE201-5A76-4A10-877B-90EDA50678B4/BB82C620-2E71-4C11-80C8-A0D1D0E96BB7.png","Variant Image")</f>
      </c>
      <c r="X258" s="0" t="s">
        <v>965</v>
      </c>
    </row>
    <row r="259">
      <c r="P259" s="0" t="s">
        <v>966</v>
      </c>
      <c r="Q259" s="0" t="s">
        <v>960</v>
      </c>
      <c r="R259" s="0" t="s">
        <v>956</v>
      </c>
      <c r="S259" s="0" t="s">
        <v>110</v>
      </c>
      <c r="T259" s="0">
        <f>HYPERLINK("https://storage.sslt.ae/ItemVariation/08DCE201-5A76-4A10-877B-90EDA50678B4/1E82A6ED-456D-46E4-80D0-CE4127AD259E.png","Variant Image")</f>
      </c>
      <c r="X259" s="0" t="s">
        <v>967</v>
      </c>
    </row>
    <row r="260">
      <c r="P260" s="0" t="s">
        <v>36</v>
      </c>
      <c r="Q260" s="0" t="s">
        <v>968</v>
      </c>
      <c r="R260" s="0" t="s">
        <v>969</v>
      </c>
      <c r="S260" s="0" t="s">
        <v>164</v>
      </c>
      <c r="T260" s="0">
        <f>HYPERLINK("https://storage.sslt.ae/ItemVariation/08DCE201-5A76-4A10-877B-90EDA50678B4/6E6DC267-FFDE-4C42-9C2B-45AB9FB65654.webp","Variant Image")</f>
      </c>
      <c r="X260" s="0" t="s">
        <v>970</v>
      </c>
    </row>
    <row r="261">
      <c r="A261" s="0" t="s">
        <v>529</v>
      </c>
      <c r="B261" s="0" t="s">
        <v>530</v>
      </c>
      <c r="C261" s="0" t="s">
        <v>971</v>
      </c>
      <c r="D261" s="0" t="s">
        <v>27</v>
      </c>
      <c r="E261" s="0" t="s">
        <v>29</v>
      </c>
      <c r="F261" s="0" t="s">
        <v>29</v>
      </c>
      <c r="G261" s="0" t="s">
        <v>972</v>
      </c>
      <c r="H261" s="0" t="s">
        <v>972</v>
      </c>
      <c r="I261" s="0" t="s">
        <v>973</v>
      </c>
      <c r="J261" s="0" t="s">
        <v>974</v>
      </c>
      <c r="K261" s="0" t="s">
        <v>108</v>
      </c>
      <c r="L261" s="0" t="s">
        <v>32</v>
      </c>
      <c r="M261" s="0" t="s">
        <v>61</v>
      </c>
      <c r="N261" s="0" t="s">
        <v>202</v>
      </c>
      <c r="O261" s="0" t="s">
        <v>110</v>
      </c>
      <c r="P261" s="0" t="s">
        <v>932</v>
      </c>
      <c r="Q261" s="0" t="s">
        <v>960</v>
      </c>
      <c r="R261" s="0" t="s">
        <v>975</v>
      </c>
      <c r="S261" s="0" t="s">
        <v>202</v>
      </c>
      <c r="T261" s="0">
        <f>HYPERLINK("https://storage.sslt.ae/ItemVariation/08DCE207-BFD2-4E63-8266-29812730487D/A2971014-CA21-4273-AB90-A9D6A5E2677C.webp","Variant Image")</f>
      </c>
      <c r="U261" s="0">
        <f>HYPERLINK("https://ec-qa-storage.kldlms.com/Item/08DCE207-BFD2-4E63-8266-29812730487D/29B92AD8-8B0A-4634-9ECA-0E42760C8329.png","Thumbnail Image")</f>
      </c>
      <c r="V261" s="0">
        <f>HYPERLINK("https://ec-qa-storage.kldlms.com/ItemGallery/08DCE207-BFD2-4E63-8266-29812730487D/9EEC41AD-E763-4E0F-BD7F-E10275C5DC85.png","Gallery Image ")</f>
      </c>
      <c r="W261" s="0" t="s">
        <v>22</v>
      </c>
      <c r="X261" s="0" t="s">
        <v>976</v>
      </c>
    </row>
    <row r="262">
      <c r="P262" s="0" t="s">
        <v>923</v>
      </c>
      <c r="Q262" s="0" t="s">
        <v>977</v>
      </c>
      <c r="R262" s="0" t="s">
        <v>978</v>
      </c>
      <c r="S262" s="0" t="s">
        <v>100</v>
      </c>
      <c r="T262" s="0">
        <f>HYPERLINK("https://storage.sslt.ae/ItemVariation/08DCE207-BFD2-4E63-8266-29812730487D/226CE88A-97C4-43A6-8A83-31925533A679.png","Variant Image")</f>
      </c>
      <c r="X262" s="0" t="s">
        <v>979</v>
      </c>
    </row>
    <row r="263">
      <c r="P263" s="0" t="s">
        <v>966</v>
      </c>
      <c r="Q263" s="0" t="s">
        <v>960</v>
      </c>
      <c r="R263" s="0" t="s">
        <v>980</v>
      </c>
      <c r="S263" s="0" t="s">
        <v>404</v>
      </c>
      <c r="T263" s="0">
        <f>HYPERLINK("https://storage.sslt.ae/ItemVariation/08DCE207-BFD2-4E63-8266-29812730487D/B9963F1D-7885-4A93-AFF2-7788F28B930C.png","Variant Image")</f>
      </c>
      <c r="X263" s="0" t="s">
        <v>981</v>
      </c>
    </row>
    <row r="264">
      <c r="P264" s="0" t="s">
        <v>36</v>
      </c>
      <c r="Q264" s="0" t="s">
        <v>977</v>
      </c>
      <c r="R264" s="0" t="s">
        <v>971</v>
      </c>
      <c r="S264" s="0" t="s">
        <v>218</v>
      </c>
      <c r="T264" s="0">
        <f>HYPERLINK("https://storage.sslt.ae/ItemVariation/08DCE207-BFD2-4E63-8266-29812730487D/20FD2546-1C32-4F3D-A0CE-71365A1A682F.webp","Variant Image")</f>
      </c>
      <c r="X264" s="0" t="s">
        <v>982</v>
      </c>
    </row>
    <row r="265">
      <c r="A265" s="0" t="s">
        <v>529</v>
      </c>
      <c r="B265" s="0" t="s">
        <v>530</v>
      </c>
      <c r="C265" s="0" t="s">
        <v>983</v>
      </c>
      <c r="D265" s="0" t="s">
        <v>27</v>
      </c>
      <c r="E265" s="0" t="s">
        <v>29</v>
      </c>
      <c r="F265" s="0" t="s">
        <v>29</v>
      </c>
      <c r="G265" s="0" t="s">
        <v>984</v>
      </c>
      <c r="H265" s="0" t="s">
        <v>984</v>
      </c>
      <c r="I265" s="0" t="s">
        <v>985</v>
      </c>
      <c r="J265" s="0" t="s">
        <v>986</v>
      </c>
      <c r="K265" s="0" t="s">
        <v>987</v>
      </c>
      <c r="L265" s="0" t="s">
        <v>32</v>
      </c>
      <c r="M265" s="0" t="s">
        <v>61</v>
      </c>
      <c r="N265" s="0" t="s">
        <v>110</v>
      </c>
      <c r="O265" s="0" t="s">
        <v>110</v>
      </c>
      <c r="P265" s="0" t="s">
        <v>36</v>
      </c>
      <c r="Q265" s="0" t="s">
        <v>988</v>
      </c>
      <c r="R265" s="0" t="s">
        <v>983</v>
      </c>
      <c r="S265" s="0" t="s">
        <v>110</v>
      </c>
      <c r="T265" s="0">
        <f>HYPERLINK("https://storage.sslt.ae/ItemVariation/08DCE2B5-DE6A-4A76-835A-6C813D32E91E/614C2969-6222-4135-8D00-96C0B064B225.png","Variant Image")</f>
      </c>
      <c r="U265" s="0">
        <f>HYPERLINK("https://ec-qa-storage.kldlms.com/Item/08DCE2B5-DE6A-4A76-835A-6C813D32E91E/E3D0698A-A190-4244-A9E2-9A83BE504A59.png","Thumbnail Image")</f>
      </c>
      <c r="V265" s="0">
        <f>HYPERLINK("https://ec-qa-storage.kldlms.com/ItemGallery/08DCE2B5-DE6A-4A76-835A-6C813D32E91E/0E64BA16-2196-4790-97AF-B33CA0AE41C3.png","Gallery Image ")</f>
      </c>
      <c r="W265" s="0" t="s">
        <v>22</v>
      </c>
      <c r="X265" s="0" t="s">
        <v>989</v>
      </c>
    </row>
    <row r="266">
      <c r="A266" s="0" t="s">
        <v>529</v>
      </c>
      <c r="B266" s="0" t="s">
        <v>530</v>
      </c>
      <c r="C266" s="0" t="s">
        <v>990</v>
      </c>
      <c r="D266" s="0" t="s">
        <v>27</v>
      </c>
      <c r="E266" s="0" t="s">
        <v>28</v>
      </c>
      <c r="F266" s="0" t="s">
        <v>29</v>
      </c>
      <c r="G266" s="0" t="s">
        <v>991</v>
      </c>
      <c r="H266" s="0" t="s">
        <v>991</v>
      </c>
      <c r="I266" s="0" t="s">
        <v>992</v>
      </c>
      <c r="J266" s="0" t="s">
        <v>993</v>
      </c>
      <c r="K266" s="0" t="s">
        <v>994</v>
      </c>
      <c r="L266" s="0" t="s">
        <v>32</v>
      </c>
      <c r="M266" s="0" t="s">
        <v>61</v>
      </c>
      <c r="N266" s="0" t="s">
        <v>995</v>
      </c>
      <c r="O266" s="0" t="s">
        <v>110</v>
      </c>
      <c r="P266" s="0" t="s">
        <v>996</v>
      </c>
      <c r="Q266" s="0" t="s">
        <v>997</v>
      </c>
      <c r="R266" s="0" t="s">
        <v>990</v>
      </c>
      <c r="S266" s="0" t="s">
        <v>995</v>
      </c>
      <c r="T266" s="0">
        <f>HYPERLINK("https://storage.sslt.ae/ItemVariation/08DCE2D5-9823-4487-8A82-36D8FE42B77E/08B41217-54D9-43AB-8931-D07A4BD2A49F.png","Variant Image")</f>
      </c>
      <c r="U266" s="0">
        <f>HYPERLINK("https://ec-qa-storage.kldlms.com/Item/08DCE2D5-9823-4487-8A82-36D8FE42B77E/6ED67981-D01E-4877-9D18-3C21DEBB58EC.png","Thumbnail Image")</f>
      </c>
      <c r="V266" s="0">
        <f>HYPERLINK("https://ec-qa-storage.kldlms.com/ItemGallery/08DCE2D5-9823-4487-8A82-36D8FE42B77E/048E235F-557A-4A41-B53E-021354866D4F.png","Gallery Image ")</f>
      </c>
      <c r="W266" s="0" t="s">
        <v>22</v>
      </c>
      <c r="X266" s="0" t="s">
        <v>998</v>
      </c>
    </row>
    <row r="267">
      <c r="P267" s="0" t="s">
        <v>39</v>
      </c>
      <c r="Q267" s="0" t="s">
        <v>999</v>
      </c>
      <c r="R267" s="0" t="s">
        <v>1000</v>
      </c>
      <c r="S267" s="0" t="s">
        <v>349</v>
      </c>
      <c r="T267" s="0">
        <f>HYPERLINK("https://storage.sslt.ae/ItemVariation/08DCE2D5-9823-4487-8A82-36D8FE42B77E/86AB3A48-2A6A-4CB5-BEBD-3C383E497665.png","Variant Image")</f>
      </c>
      <c r="X267" s="0" t="s">
        <v>1001</v>
      </c>
    </row>
    <row r="268">
      <c r="A268" s="0" t="s">
        <v>529</v>
      </c>
      <c r="B268" s="0" t="s">
        <v>530</v>
      </c>
      <c r="C268" s="0" t="s">
        <v>1002</v>
      </c>
      <c r="D268" s="0" t="s">
        <v>27</v>
      </c>
      <c r="E268" s="0" t="s">
        <v>315</v>
      </c>
      <c r="F268" s="0" t="s">
        <v>29</v>
      </c>
      <c r="G268" s="0" t="s">
        <v>1003</v>
      </c>
      <c r="H268" s="0" t="s">
        <v>1003</v>
      </c>
      <c r="I268" s="0" t="s">
        <v>1004</v>
      </c>
      <c r="J268" s="0" t="s">
        <v>1005</v>
      </c>
      <c r="K268" s="0" t="s">
        <v>994</v>
      </c>
      <c r="L268" s="0" t="s">
        <v>32</v>
      </c>
      <c r="M268" s="0" t="s">
        <v>61</v>
      </c>
      <c r="N268" s="0" t="s">
        <v>866</v>
      </c>
      <c r="O268" s="0" t="s">
        <v>110</v>
      </c>
      <c r="P268" s="0" t="s">
        <v>996</v>
      </c>
      <c r="Q268" s="0" t="s">
        <v>997</v>
      </c>
      <c r="R268" s="0" t="s">
        <v>1002</v>
      </c>
      <c r="S268" s="0" t="s">
        <v>866</v>
      </c>
      <c r="T268" s="0">
        <f>HYPERLINK("https://storage.sslt.ae/ItemVariation/08DCE2D7-539B-4D31-8185-DCEB51A2336A/E9723BA0-00F4-42AD-8231-16482F04C8A5.png","Variant Image")</f>
      </c>
      <c r="U268" s="0">
        <f>HYPERLINK("https://ec-qa-storage.kldlms.com/Item/08DCE2D7-539B-4D31-8185-DCEB51A2336A/891D370A-1937-4486-8492-1FCB68756EB0.png","Thumbnail Image")</f>
      </c>
      <c r="V268" s="0">
        <f>HYPERLINK("https://ec-qa-storage.kldlms.com/ItemGallery/08DCE2D7-539B-4D31-8185-DCEB51A2336A/10CBB8EB-45F9-4AF0-84D3-B70F258FBA36.png","Gallery Image ")</f>
      </c>
      <c r="W268" s="0" t="s">
        <v>22</v>
      </c>
      <c r="X268" s="0" t="s">
        <v>1006</v>
      </c>
    </row>
    <row r="269">
      <c r="A269" s="0" t="s">
        <v>1007</v>
      </c>
      <c r="B269" s="0" t="s">
        <v>1007</v>
      </c>
      <c r="C269" s="0" t="s">
        <v>1008</v>
      </c>
      <c r="D269" s="0" t="s">
        <v>1009</v>
      </c>
      <c r="E269" s="0" t="s">
        <v>1010</v>
      </c>
      <c r="F269" s="0" t="s">
        <v>1011</v>
      </c>
      <c r="G269" s="0" t="s">
        <v>1007</v>
      </c>
      <c r="H269" s="0" t="s">
        <v>1007</v>
      </c>
      <c r="I269" s="0" t="s">
        <v>1012</v>
      </c>
      <c r="J269" s="0" t="s">
        <v>1012</v>
      </c>
      <c r="K269" s="0" t="s">
        <v>526</v>
      </c>
      <c r="L269" s="0" t="s">
        <v>837</v>
      </c>
      <c r="M269" s="0" t="s">
        <v>33</v>
      </c>
      <c r="N269" s="0" t="s">
        <v>100</v>
      </c>
      <c r="O269" s="0" t="s">
        <v>337</v>
      </c>
      <c r="P269" s="0" t="s">
        <v>1013</v>
      </c>
      <c r="Q269" s="0" t="s">
        <v>526</v>
      </c>
      <c r="R269" s="0" t="s">
        <v>1008</v>
      </c>
      <c r="S269" s="0" t="s">
        <v>100</v>
      </c>
      <c r="T269" s="0">
        <f>HYPERLINK("","Variant Image")</f>
      </c>
      <c r="U269" s="0">
        <f>HYPERLINK("https://ec-qa-storage.kldlms.com/Item/08DCE37B-36D3-43DA-8DDD-C633ADF76699/450A1D2E-A6C0-48A6-8799-C3699CE2F940.png","Thumbnail Image")</f>
      </c>
      <c r="V269" s="0">
        <f>HYPERLINK("https://ec-qa-storage.kldlms.com/ItemGallery/08DCE37B-36D3-43DA-8DDD-C633ADF76699/35595FD4-2D1A-40B2-80B1-993992507A02.png","Gallery Image ")</f>
      </c>
      <c r="W269" s="0" t="s">
        <v>22</v>
      </c>
    </row>
    <row r="270">
      <c r="P270" s="0" t="s">
        <v>203</v>
      </c>
      <c r="Q270" s="0" t="s">
        <v>526</v>
      </c>
      <c r="R270" s="0" t="s">
        <v>1008</v>
      </c>
      <c r="S270" s="0" t="s">
        <v>100</v>
      </c>
      <c r="T270" s="0">
        <f>HYPERLINK("","Variant Image")</f>
      </c>
    </row>
    <row r="271">
      <c r="P271" s="0" t="s">
        <v>932</v>
      </c>
      <c r="Q271" s="0" t="s">
        <v>526</v>
      </c>
      <c r="R271" s="0" t="s">
        <v>1008</v>
      </c>
      <c r="S271" s="0" t="s">
        <v>100</v>
      </c>
      <c r="T271" s="0">
        <f>HYPERLINK("","Variant Image")</f>
      </c>
    </row>
    <row r="272">
      <c r="A272" s="0" t="s">
        <v>1014</v>
      </c>
      <c r="B272" s="0" t="s">
        <v>1014</v>
      </c>
      <c r="C272" s="0" t="s">
        <v>613</v>
      </c>
      <c r="D272" s="0" t="s">
        <v>27</v>
      </c>
      <c r="E272" s="0" t="s">
        <v>614</v>
      </c>
      <c r="F272" s="0" t="s">
        <v>557</v>
      </c>
      <c r="G272" s="0" t="s">
        <v>1014</v>
      </c>
      <c r="H272" s="0" t="s">
        <v>1014</v>
      </c>
      <c r="I272" s="0" t="s">
        <v>615</v>
      </c>
      <c r="J272" s="0" t="s">
        <v>615</v>
      </c>
      <c r="K272" s="0" t="s">
        <v>1015</v>
      </c>
      <c r="L272" s="0" t="s">
        <v>32</v>
      </c>
      <c r="M272" s="0" t="s">
        <v>33</v>
      </c>
      <c r="N272" s="0" t="s">
        <v>720</v>
      </c>
      <c r="O272" s="0" t="s">
        <v>35</v>
      </c>
      <c r="P272" s="0" t="s">
        <v>1016</v>
      </c>
      <c r="Q272" s="0" t="s">
        <v>1017</v>
      </c>
      <c r="R272" s="0" t="s">
        <v>1018</v>
      </c>
      <c r="S272" s="0" t="s">
        <v>1019</v>
      </c>
      <c r="T272" s="0">
        <f>HYPERLINK("https://storage.sslt.ae/ItemVariation/08DCE39C-F5FD-44E5-8EF9-B63D10D13931/29B44C79-BD5D-4761-BDE2-AF5CD16E3566.png","Variant Image")</f>
      </c>
      <c r="U272" s="0">
        <f>HYPERLINK("https://ec-qa-storage.kldlms.com/Item/08DCE39C-F5FD-44E5-8EF9-B63D10D13931/315C4050-ADE1-48DA-BAE0-F39CAF7B0671.jpg","Thumbnail Image")</f>
      </c>
      <c r="W272" s="0" t="s">
        <v>22</v>
      </c>
    </row>
    <row r="273">
      <c r="P273" s="0" t="s">
        <v>590</v>
      </c>
      <c r="Q273" s="0" t="s">
        <v>1020</v>
      </c>
      <c r="R273" s="0" t="s">
        <v>1021</v>
      </c>
      <c r="S273" s="0" t="s">
        <v>1022</v>
      </c>
      <c r="T273" s="0">
        <f>HYPERLINK("https://storage.sslt.ae/ItemVariation/08DCE39C-F5FD-44E5-8EF9-B63D10D13931/BB86EE39-9B8B-44ED-8287-7F4174ADE523.webp","Variant Image")</f>
      </c>
    </row>
    <row r="274">
      <c r="P274" s="0" t="s">
        <v>527</v>
      </c>
      <c r="Q274" s="0" t="s">
        <v>1015</v>
      </c>
      <c r="R274" s="0" t="s">
        <v>1023</v>
      </c>
      <c r="S274" s="0" t="s">
        <v>32</v>
      </c>
      <c r="T274" s="0">
        <f>HYPERLINK("https://storage.sslt.ae/ItemVariation/08DCE39C-F5FD-44E5-8EF9-B63D10D13931/BD5895ED-045F-4C4A-8075-90F6F24966EB.jpg","Variant Image")</f>
      </c>
    </row>
    <row r="275">
      <c r="P275" s="0" t="s">
        <v>134</v>
      </c>
      <c r="Q275" s="0" t="s">
        <v>667</v>
      </c>
      <c r="R275" s="0" t="s">
        <v>1024</v>
      </c>
      <c r="S275" s="0" t="s">
        <v>1025</v>
      </c>
      <c r="T275" s="0">
        <f>HYPERLINK("https://storage.sslt.ae/ItemVariation/08DCE39C-F5FD-44E5-8EF9-B63D10D13931/C17F73B6-AAA4-43E2-A7F4-C518614D7E86.webp","Variant Image")</f>
      </c>
    </row>
    <row r="276">
      <c r="A276" s="0" t="s">
        <v>1026</v>
      </c>
      <c r="B276" s="0" t="s">
        <v>1026</v>
      </c>
      <c r="C276" s="0" t="s">
        <v>613</v>
      </c>
      <c r="D276" s="0" t="s">
        <v>27</v>
      </c>
      <c r="E276" s="0" t="s">
        <v>614</v>
      </c>
      <c r="F276" s="0" t="s">
        <v>557</v>
      </c>
      <c r="G276" s="0" t="s">
        <v>1026</v>
      </c>
      <c r="H276" s="0" t="s">
        <v>1026</v>
      </c>
      <c r="I276" s="0" t="s">
        <v>615</v>
      </c>
      <c r="J276" s="0" t="s">
        <v>615</v>
      </c>
      <c r="K276" s="0" t="s">
        <v>1027</v>
      </c>
      <c r="L276" s="0" t="s">
        <v>32</v>
      </c>
      <c r="M276" s="0" t="s">
        <v>33</v>
      </c>
      <c r="N276" s="0" t="s">
        <v>851</v>
      </c>
      <c r="O276" s="0" t="s">
        <v>35</v>
      </c>
      <c r="P276" s="0" t="s">
        <v>1016</v>
      </c>
      <c r="Q276" s="0" t="s">
        <v>1028</v>
      </c>
      <c r="R276" s="0" t="s">
        <v>1029</v>
      </c>
      <c r="S276" s="0" t="s">
        <v>1030</v>
      </c>
      <c r="T276" s="0">
        <f>HYPERLINK("https://storage.sslt.ae/ItemVariation/08DCE3A6-28D0-46D5-8255-CACDCDC22E04/80472B5C-717D-43D2-8BB4-04169F20E434.jpeg","Variant Image")</f>
      </c>
      <c r="U276" s="0">
        <f>HYPERLINK("https://ec-qa-storage.kldlms.com/Item/08DCE3A6-28D0-46D5-8255-CACDCDC22E04/6C0B5665-49A3-4C62-9592-1536A141F33F.jpg","Thumbnail Image")</f>
      </c>
      <c r="W276" s="0" t="s">
        <v>22</v>
      </c>
    </row>
    <row r="277">
      <c r="P277" s="0" t="s">
        <v>590</v>
      </c>
      <c r="Q277" s="0" t="s">
        <v>1031</v>
      </c>
      <c r="R277" s="0" t="s">
        <v>1032</v>
      </c>
      <c r="S277" s="0" t="s">
        <v>647</v>
      </c>
      <c r="T277" s="0">
        <f>HYPERLINK("https://storage.sslt.ae/ItemVariation/08DCE3A6-28D0-46D5-8255-CACDCDC22E04/04D8E15E-972E-4566-9BB1-EA281DD296CA.webp","Variant Image")</f>
      </c>
    </row>
    <row r="278">
      <c r="P278" s="0" t="s">
        <v>527</v>
      </c>
      <c r="Q278" s="0" t="s">
        <v>1027</v>
      </c>
      <c r="R278" s="0" t="s">
        <v>1033</v>
      </c>
      <c r="S278" s="0" t="s">
        <v>32</v>
      </c>
      <c r="T278" s="0">
        <f>HYPERLINK("https://storage.sslt.ae/ItemVariation/08DCE3A6-28D0-46D5-8255-CACDCDC22E04/53D00BA0-DC1C-4095-BA95-2F43112CC925.jpg","Variant Image")</f>
      </c>
    </row>
    <row r="279">
      <c r="P279" s="0" t="s">
        <v>134</v>
      </c>
      <c r="Q279" s="0" t="s">
        <v>1031</v>
      </c>
      <c r="R279" s="0" t="s">
        <v>1034</v>
      </c>
      <c r="S279" s="0" t="s">
        <v>409</v>
      </c>
      <c r="T279" s="0">
        <f>HYPERLINK("https://storage.sslt.ae/ItemVariation/08DCE3A6-28D0-46D5-8255-CACDCDC22E04/DADC1E58-FFEE-4A49-A6B3-0ADFD35FC73E.webp","Variant Image")</f>
      </c>
    </row>
    <row r="280">
      <c r="A280" s="0" t="s">
        <v>1035</v>
      </c>
      <c r="B280" s="0" t="s">
        <v>1036</v>
      </c>
      <c r="C280" s="0" t="s">
        <v>1037</v>
      </c>
      <c r="D280" s="0" t="s">
        <v>27</v>
      </c>
      <c r="E280" s="0" t="s">
        <v>28</v>
      </c>
      <c r="F280" s="0" t="s">
        <v>29</v>
      </c>
      <c r="G280" s="0" t="s">
        <v>1038</v>
      </c>
      <c r="H280" s="0" t="s">
        <v>1038</v>
      </c>
      <c r="I280" s="0" t="s">
        <v>1039</v>
      </c>
      <c r="J280" s="0" t="s">
        <v>1040</v>
      </c>
      <c r="K280" s="0" t="s">
        <v>1041</v>
      </c>
      <c r="L280" s="0" t="s">
        <v>32</v>
      </c>
      <c r="M280" s="0" t="s">
        <v>61</v>
      </c>
      <c r="N280" s="0" t="s">
        <v>160</v>
      </c>
      <c r="O280" s="0" t="s">
        <v>110</v>
      </c>
      <c r="P280" s="0" t="s">
        <v>1016</v>
      </c>
      <c r="Q280" s="0" t="s">
        <v>1042</v>
      </c>
      <c r="R280" s="0" t="s">
        <v>1043</v>
      </c>
      <c r="S280" s="0" t="s">
        <v>160</v>
      </c>
      <c r="T280" s="0">
        <f>HYPERLINK("https://storage.sslt.ae/ItemVariation/08DCE43F-B506-41BE-862E-DEE96E66A87F/DCD792E6-0E28-4098-A0CF-0D6482C37A68.png","Variant Image")</f>
      </c>
      <c r="U280" s="0">
        <f>HYPERLINK("https://ec-qa-storage.kldlms.com/Item/08DCE43F-B506-41BE-862E-DEE96E66A87F/71AFD7AB-9046-4684-A4E5-2BB4EA09813A.png","Thumbnail Image")</f>
      </c>
      <c r="V280" s="0">
        <f>HYPERLINK("https://ec-qa-storage.kldlms.com/ItemGallery/08DCE43F-B506-41BE-862E-DEE96E66A87F/9E0780F0-76C9-4973-A29F-E94A97BE96A5.png","Gallery Image ")</f>
      </c>
      <c r="W280" s="0" t="s">
        <v>22</v>
      </c>
      <c r="X280" s="0" t="s">
        <v>1044</v>
      </c>
    </row>
    <row r="281">
      <c r="P281" s="0" t="s">
        <v>590</v>
      </c>
      <c r="Q281" s="0" t="s">
        <v>1045</v>
      </c>
      <c r="R281" s="0" t="s">
        <v>1046</v>
      </c>
      <c r="S281" s="0" t="s">
        <v>205</v>
      </c>
      <c r="T281" s="0">
        <f>HYPERLINK("https://storage.sslt.ae/ItemVariation/08DCE43F-B506-41BE-862E-DEE96E66A87F/C85ACE21-DC2D-49A9-A2F9-54A7793AF220.png","Variant Image")</f>
      </c>
      <c r="X281" s="0" t="s">
        <v>1047</v>
      </c>
    </row>
    <row r="282">
      <c r="P282" s="0" t="s">
        <v>527</v>
      </c>
      <c r="Q282" s="0" t="s">
        <v>1048</v>
      </c>
      <c r="R282" s="0" t="s">
        <v>1037</v>
      </c>
      <c r="S282" s="0" t="s">
        <v>243</v>
      </c>
      <c r="T282" s="0">
        <f>HYPERLINK("https://storage.sslt.ae/ItemVariation/08DCE43F-B506-41BE-862E-DEE96E66A87F/A9C8F344-87ED-47F3-A652-34732C583106.png","Variant Image")</f>
      </c>
      <c r="X282" s="0" t="s">
        <v>1049</v>
      </c>
    </row>
    <row r="283">
      <c r="A283" s="0" t="s">
        <v>1050</v>
      </c>
      <c r="B283" s="0" t="s">
        <v>1050</v>
      </c>
      <c r="C283" s="0" t="s">
        <v>613</v>
      </c>
      <c r="D283" s="0" t="s">
        <v>27</v>
      </c>
      <c r="E283" s="0" t="s">
        <v>614</v>
      </c>
      <c r="F283" s="0" t="s">
        <v>557</v>
      </c>
      <c r="G283" s="0" t="s">
        <v>1050</v>
      </c>
      <c r="H283" s="0" t="s">
        <v>1050</v>
      </c>
      <c r="I283" s="0" t="s">
        <v>615</v>
      </c>
      <c r="J283" s="0" t="s">
        <v>615</v>
      </c>
      <c r="K283" s="0" t="s">
        <v>1051</v>
      </c>
      <c r="L283" s="0" t="s">
        <v>32</v>
      </c>
      <c r="M283" s="0" t="s">
        <v>33</v>
      </c>
      <c r="N283" s="0" t="s">
        <v>1030</v>
      </c>
      <c r="O283" s="0" t="s">
        <v>35</v>
      </c>
      <c r="P283" s="0" t="s">
        <v>1016</v>
      </c>
      <c r="Q283" s="0" t="s">
        <v>481</v>
      </c>
      <c r="R283" s="0" t="s">
        <v>1052</v>
      </c>
      <c r="S283" s="0" t="s">
        <v>164</v>
      </c>
      <c r="T283" s="0">
        <f>HYPERLINK("https://storage.sslt.ae/ItemVariation/08DCE501-FDA6-44B4-8083-86730143CB4A/BCF46B53-3D1A-4874-B9D7-86F60A3D2086.png","Variant Image")</f>
      </c>
      <c r="U283" s="0">
        <f>HYPERLINK("https://ec-qa-storage.kldlms.com/Item/08DCE501-FDA6-44B4-8083-86730143CB4A/F6B46CBE-B7A5-435D-AFE6-AB0592982B49.jpg","Thumbnail Image")</f>
      </c>
      <c r="W283" s="0" t="s">
        <v>22</v>
      </c>
    </row>
    <row r="284">
      <c r="P284" s="0" t="s">
        <v>590</v>
      </c>
      <c r="Q284" s="0" t="s">
        <v>1053</v>
      </c>
      <c r="R284" s="0" t="s">
        <v>1054</v>
      </c>
      <c r="S284" s="0" t="s">
        <v>512</v>
      </c>
      <c r="T284" s="0">
        <f>HYPERLINK("https://storage.sslt.ae/ItemVariation/08DCE501-FDA6-44B4-8083-86730143CB4A/004324D3-0968-43D8-8C60-D5306AE3EEC3.webp","Variant Image")</f>
      </c>
    </row>
    <row r="285">
      <c r="P285" s="0" t="s">
        <v>527</v>
      </c>
      <c r="Q285" s="0" t="s">
        <v>1051</v>
      </c>
      <c r="R285" s="0" t="s">
        <v>1055</v>
      </c>
      <c r="S285" s="0" t="s">
        <v>32</v>
      </c>
      <c r="T285" s="0">
        <f>HYPERLINK("https://storage.sslt.ae/ItemVariation/08DCE501-FDA6-44B4-8083-86730143CB4A/7DEB2A73-9618-4DA7-B163-D527940CBC3E.jpg","Variant Image")</f>
      </c>
    </row>
    <row r="286">
      <c r="P286" s="0" t="s">
        <v>134</v>
      </c>
      <c r="Q286" s="0" t="s">
        <v>1056</v>
      </c>
      <c r="R286" s="0" t="s">
        <v>1057</v>
      </c>
      <c r="S286" s="0" t="s">
        <v>155</v>
      </c>
      <c r="T286" s="0">
        <f>HYPERLINK("https://storage.sslt.ae/ItemVariation/08DCE501-FDA6-44B4-8083-86730143CB4A/09FCF76A-8EC9-49CE-8CC0-DCC60DEA398A.webp","Variant Image")</f>
      </c>
    </row>
    <row r="287">
      <c r="A287" s="0" t="s">
        <v>1035</v>
      </c>
      <c r="B287" s="0" t="s">
        <v>1036</v>
      </c>
      <c r="C287" s="0" t="s">
        <v>1058</v>
      </c>
      <c r="D287" s="0" t="s">
        <v>27</v>
      </c>
      <c r="E287" s="0" t="s">
        <v>28</v>
      </c>
      <c r="F287" s="0" t="s">
        <v>29</v>
      </c>
      <c r="G287" s="0" t="s">
        <v>1059</v>
      </c>
      <c r="H287" s="0" t="s">
        <v>1059</v>
      </c>
      <c r="I287" s="0" t="s">
        <v>1060</v>
      </c>
      <c r="J287" s="0" t="s">
        <v>1061</v>
      </c>
      <c r="K287" s="0" t="s">
        <v>1062</v>
      </c>
      <c r="L287" s="0" t="s">
        <v>32</v>
      </c>
      <c r="M287" s="0" t="s">
        <v>61</v>
      </c>
      <c r="N287" s="0" t="s">
        <v>302</v>
      </c>
      <c r="O287" s="0" t="s">
        <v>110</v>
      </c>
      <c r="P287" s="0" t="s">
        <v>1016</v>
      </c>
      <c r="Q287" s="0" t="s">
        <v>1063</v>
      </c>
      <c r="R287" s="0" t="s">
        <v>1064</v>
      </c>
      <c r="S287" s="0" t="s">
        <v>302</v>
      </c>
      <c r="T287" s="0">
        <f>HYPERLINK("https://storage.sslt.ae/ItemVariation/08DCE505-0CC3-4CB1-8EFA-BD49BC4C8B6A/D005AC09-BA55-4F17-93AC-CDF6E064A3B4.png","Variant Image")</f>
      </c>
      <c r="U287" s="0">
        <f>HYPERLINK("https://ec-qa-storage.kldlms.com/Item/08DCE505-0CC3-4CB1-8EFA-BD49BC4C8B6A/4EB9E7B8-E7B0-4238-9F51-5F7DDB1FC159.png","Thumbnail Image")</f>
      </c>
      <c r="V287" s="0">
        <f>HYPERLINK("https://ec-qa-storage.kldlms.com/ItemGallery/08DCE505-0CC3-4CB1-8EFA-BD49BC4C8B6A/6DDCFD5D-5548-4EB8-A539-EBED35692409.png","Gallery Image ")</f>
      </c>
      <c r="W287" s="0" t="s">
        <v>22</v>
      </c>
      <c r="X287" s="0" t="s">
        <v>1065</v>
      </c>
    </row>
    <row r="288">
      <c r="P288" s="0" t="s">
        <v>527</v>
      </c>
      <c r="Q288" s="0" t="s">
        <v>1066</v>
      </c>
      <c r="R288" s="0" t="s">
        <v>1058</v>
      </c>
      <c r="S288" s="0" t="s">
        <v>266</v>
      </c>
      <c r="T288" s="0">
        <f>HYPERLINK("https://storage.sslt.ae/ItemVariation/08DCE505-0CC3-4CB1-8EFA-BD49BC4C8B6A/303EA185-452E-4FF6-B9A0-AB4181612EF8.png","Variant Image")</f>
      </c>
      <c r="X288" s="0" t="s">
        <v>1067</v>
      </c>
    </row>
    <row r="289">
      <c r="A289" s="0" t="s">
        <v>1035</v>
      </c>
      <c r="B289" s="0" t="s">
        <v>1036</v>
      </c>
      <c r="C289" s="0" t="s">
        <v>1068</v>
      </c>
      <c r="D289" s="0" t="s">
        <v>27</v>
      </c>
      <c r="E289" s="0" t="s">
        <v>28</v>
      </c>
      <c r="F289" s="0" t="s">
        <v>29</v>
      </c>
      <c r="G289" s="0" t="s">
        <v>1069</v>
      </c>
      <c r="H289" s="0" t="s">
        <v>1069</v>
      </c>
      <c r="I289" s="0" t="s">
        <v>1070</v>
      </c>
      <c r="J289" s="0" t="s">
        <v>1071</v>
      </c>
      <c r="K289" s="0" t="s">
        <v>1072</v>
      </c>
      <c r="L289" s="0" t="s">
        <v>32</v>
      </c>
      <c r="M289" s="0" t="s">
        <v>61</v>
      </c>
      <c r="N289" s="0" t="s">
        <v>140</v>
      </c>
      <c r="O289" s="0" t="s">
        <v>110</v>
      </c>
      <c r="P289" s="0" t="s">
        <v>1016</v>
      </c>
      <c r="Q289" s="0" t="s">
        <v>1073</v>
      </c>
      <c r="R289" s="0" t="s">
        <v>1074</v>
      </c>
      <c r="S289" s="0" t="s">
        <v>140</v>
      </c>
      <c r="T289" s="0">
        <f>HYPERLINK("https://storage.sslt.ae/ItemVariation/08DCE50B-7DC4-4EC0-8D8F-47B740486226/9EA13C1A-9D86-4C28-AF48-CE79A803E11D.png","Variant Image")</f>
      </c>
      <c r="U289" s="0">
        <f>HYPERLINK("https://ec-qa-storage.kldlms.com/Item/08DCE50B-7DC4-4EC0-8D8F-47B740486226/78FEB105-465C-4CDC-93D8-0D3FD15F4605.png","Thumbnail Image")</f>
      </c>
      <c r="V289" s="0">
        <f>HYPERLINK("https://ec-qa-storage.kldlms.com/ItemGallery/08DCE50B-7DC4-4EC0-8D8F-47B740486226/B0C2E826-980D-4020-8E99-FC29195AC338.png","Gallery Image ")</f>
      </c>
      <c r="W289" s="0" t="s">
        <v>22</v>
      </c>
      <c r="X289" s="0" t="s">
        <v>1075</v>
      </c>
    </row>
    <row r="290">
      <c r="P290" s="0" t="s">
        <v>527</v>
      </c>
      <c r="Q290" s="0" t="s">
        <v>1076</v>
      </c>
      <c r="R290" s="0" t="s">
        <v>1068</v>
      </c>
      <c r="S290" s="0" t="s">
        <v>232</v>
      </c>
      <c r="T290" s="0">
        <f>HYPERLINK("https://storage.sslt.ae/ItemVariation/08DCE50B-7DC4-4EC0-8D8F-47B740486226/0DD63E91-A462-4D70-B152-D94FFF78FAB9.png","Variant Image")</f>
      </c>
      <c r="X290" s="0" t="s">
        <v>1077</v>
      </c>
    </row>
    <row r="291">
      <c r="P291" s="0" t="s">
        <v>134</v>
      </c>
      <c r="Q291" s="0" t="s">
        <v>1078</v>
      </c>
      <c r="R291" s="0" t="s">
        <v>1079</v>
      </c>
      <c r="S291" s="0" t="s">
        <v>302</v>
      </c>
      <c r="T291" s="0">
        <f>HYPERLINK("https://storage.sslt.ae/ItemVariation/08DCE50B-7DC4-4EC0-8D8F-47B740486226/A61FC59A-81C1-4573-9E3B-B4FC1847A9D9.webp","Variant Image")</f>
      </c>
      <c r="X291" s="0" t="s">
        <v>1080</v>
      </c>
    </row>
    <row r="292">
      <c r="A292" s="0" t="s">
        <v>1035</v>
      </c>
      <c r="B292" s="0" t="s">
        <v>1036</v>
      </c>
      <c r="C292" s="0" t="s">
        <v>1081</v>
      </c>
      <c r="D292" s="0" t="s">
        <v>27</v>
      </c>
      <c r="E292" s="0" t="s">
        <v>28</v>
      </c>
      <c r="F292" s="0" t="s">
        <v>29</v>
      </c>
      <c r="G292" s="0" t="s">
        <v>1082</v>
      </c>
      <c r="H292" s="0" t="s">
        <v>1082</v>
      </c>
      <c r="I292" s="0" t="s">
        <v>1083</v>
      </c>
      <c r="J292" s="0" t="s">
        <v>1084</v>
      </c>
      <c r="K292" s="0" t="s">
        <v>1085</v>
      </c>
      <c r="L292" s="0" t="s">
        <v>32</v>
      </c>
      <c r="M292" s="0" t="s">
        <v>61</v>
      </c>
      <c r="N292" s="0" t="s">
        <v>83</v>
      </c>
      <c r="O292" s="0" t="s">
        <v>110</v>
      </c>
      <c r="P292" s="0" t="s">
        <v>996</v>
      </c>
      <c r="Q292" s="0" t="s">
        <v>1086</v>
      </c>
      <c r="R292" s="0" t="s">
        <v>1081</v>
      </c>
      <c r="S292" s="0" t="s">
        <v>83</v>
      </c>
      <c r="T292" s="0">
        <f>HYPERLINK("https://storage.sslt.ae/ItemVariation/08DCE510-AFF3-415C-87A0-BDECBAD19B04/472C06B2-7D38-451A-B5B9-391CFAE6CD3A.png","Variant Image")</f>
      </c>
      <c r="U292" s="0">
        <f>HYPERLINK("https://ec-qa-storage.kldlms.com/Item/08DCE510-AFF3-415C-87A0-BDECBAD19B04/117F0C64-2AAA-48A3-BDBA-C99B8058A700.png","Thumbnail Image")</f>
      </c>
      <c r="V292" s="0">
        <f>HYPERLINK("https://ec-qa-storage.kldlms.com/ItemGallery/08DCE510-AFF3-415C-87A0-BDECBAD19B04/94E49D5F-0C5D-45CA-BA38-E04842387538.png","Gallery Image ")</f>
      </c>
      <c r="W292" s="0" t="s">
        <v>22</v>
      </c>
      <c r="X292" s="0" t="s">
        <v>1087</v>
      </c>
    </row>
    <row r="293">
      <c r="P293" s="0" t="s">
        <v>1016</v>
      </c>
      <c r="Q293" s="0" t="s">
        <v>92</v>
      </c>
      <c r="R293" s="0" t="s">
        <v>1088</v>
      </c>
      <c r="S293" s="0" t="s">
        <v>209</v>
      </c>
      <c r="T293" s="0">
        <f>HYPERLINK("https://storage.sslt.ae/ItemVariation/08DCE510-AFF3-415C-87A0-BDECBAD19B04/4E36CC86-B495-4347-A5C3-7A591C541DD5.png","Variant Image")</f>
      </c>
      <c r="X293" s="0" t="s">
        <v>1089</v>
      </c>
    </row>
    <row r="294">
      <c r="P294" s="0" t="s">
        <v>134</v>
      </c>
      <c r="Q294" s="0" t="s">
        <v>1090</v>
      </c>
      <c r="R294" s="0" t="s">
        <v>1091</v>
      </c>
      <c r="S294" s="0" t="s">
        <v>142</v>
      </c>
      <c r="T294" s="0">
        <f>HYPERLINK("https://storage.sslt.ae/ItemVariation/08DCE510-AFF3-415C-87A0-BDECBAD19B04/FA9A3E33-6F9B-45D2-8BCB-9467DF3A0D4B.png","Variant Image")</f>
      </c>
      <c r="X294" s="0" t="s">
        <v>1092</v>
      </c>
    </row>
    <row r="295">
      <c r="A295" s="0" t="s">
        <v>1035</v>
      </c>
      <c r="B295" s="0" t="s">
        <v>1036</v>
      </c>
      <c r="C295" s="0" t="s">
        <v>1093</v>
      </c>
      <c r="D295" s="0" t="s">
        <v>27</v>
      </c>
      <c r="E295" s="0" t="s">
        <v>28</v>
      </c>
      <c r="F295" s="0" t="s">
        <v>29</v>
      </c>
      <c r="G295" s="0" t="s">
        <v>1094</v>
      </c>
      <c r="H295" s="0" t="s">
        <v>1094</v>
      </c>
      <c r="I295" s="0" t="s">
        <v>1095</v>
      </c>
      <c r="J295" s="0" t="s">
        <v>1096</v>
      </c>
      <c r="K295" s="0" t="s">
        <v>1097</v>
      </c>
      <c r="L295" s="0" t="s">
        <v>32</v>
      </c>
      <c r="M295" s="0" t="s">
        <v>61</v>
      </c>
      <c r="N295" s="0" t="s">
        <v>1098</v>
      </c>
      <c r="O295" s="0" t="s">
        <v>110</v>
      </c>
      <c r="P295" s="0" t="s">
        <v>1016</v>
      </c>
      <c r="Q295" s="0" t="s">
        <v>1099</v>
      </c>
      <c r="R295" s="0" t="s">
        <v>1100</v>
      </c>
      <c r="S295" s="0" t="s">
        <v>1030</v>
      </c>
      <c r="T295" s="0">
        <f>HYPERLINK("https://storage.sslt.ae/ItemVariation/08DCE513-6DFE-4C91-89E1-B4AE155331C0/56ABCD39-14BB-4D09-A755-27FF442B4A9A.jpeg","Variant Image")</f>
      </c>
      <c r="U295" s="0">
        <f>HYPERLINK("https://ec-qa-storage.kldlms.com/Item/08DCE513-6DFE-4C91-89E1-B4AE155331C0/19D50CB8-F731-405F-B14C-FCDBE30BA48C.png","Thumbnail Image")</f>
      </c>
      <c r="V295" s="0">
        <f>HYPERLINK("https://ec-qa-storage.kldlms.com/ItemGallery/08DCE513-6DFE-4C91-89E1-B4AE155331C0/B206FD3A-5432-4F4F-A55E-FB614EFE8E95.png","Gallery Image ")</f>
      </c>
      <c r="W295" s="0" t="s">
        <v>22</v>
      </c>
      <c r="X295" s="0" t="s">
        <v>1101</v>
      </c>
    </row>
    <row r="296">
      <c r="P296" s="0" t="s">
        <v>590</v>
      </c>
      <c r="Q296" s="0" t="s">
        <v>1102</v>
      </c>
      <c r="R296" s="0" t="s">
        <v>1103</v>
      </c>
      <c r="S296" s="0" t="s">
        <v>164</v>
      </c>
      <c r="T296" s="0">
        <f>HYPERLINK("https://storage.sslt.ae/ItemVariation/08DCE513-6DFE-4C91-89E1-B4AE155331C0/E398982B-4CE2-4A42-8F28-957CA64B7AA5.webp","Variant Image")</f>
      </c>
      <c r="X296" s="0" t="s">
        <v>1104</v>
      </c>
    </row>
    <row r="297">
      <c r="P297" s="0" t="s">
        <v>527</v>
      </c>
      <c r="Q297" s="0" t="s">
        <v>1097</v>
      </c>
      <c r="R297" s="0" t="s">
        <v>1093</v>
      </c>
      <c r="S297" s="0" t="s">
        <v>1098</v>
      </c>
      <c r="T297" s="0">
        <f>HYPERLINK("https://storage.sslt.ae/ItemVariation/08DCE513-6DFE-4C91-89E1-B4AE155331C0/C39FE34E-09E8-4D69-9933-91E43A5ADC57.webp","Variant Image")</f>
      </c>
      <c r="X297" s="0" t="s">
        <v>1105</v>
      </c>
    </row>
    <row r="298">
      <c r="P298" s="0" t="s">
        <v>134</v>
      </c>
      <c r="Q298" s="0" t="s">
        <v>1106</v>
      </c>
      <c r="R298" s="0" t="s">
        <v>1107</v>
      </c>
      <c r="S298" s="0" t="s">
        <v>840</v>
      </c>
      <c r="T298" s="0">
        <f>HYPERLINK("https://storage.sslt.ae/ItemVariation/08DCE513-6DFE-4C91-89E1-B4AE155331C0/EC5F36A2-6AC0-4DB6-A0D5-CCFC378213C6.jpeg","Variant Image")</f>
      </c>
      <c r="X298" s="0" t="s">
        <v>1108</v>
      </c>
    </row>
    <row r="299">
      <c r="A299" s="0" t="s">
        <v>1035</v>
      </c>
      <c r="B299" s="0" t="s">
        <v>1036</v>
      </c>
      <c r="C299" s="0" t="s">
        <v>1109</v>
      </c>
      <c r="D299" s="0" t="s">
        <v>27</v>
      </c>
      <c r="E299" s="0" t="s">
        <v>28</v>
      </c>
      <c r="F299" s="0" t="s">
        <v>29</v>
      </c>
      <c r="G299" s="0" t="s">
        <v>1110</v>
      </c>
      <c r="H299" s="0" t="s">
        <v>1110</v>
      </c>
      <c r="I299" s="0" t="s">
        <v>1111</v>
      </c>
      <c r="J299" s="0" t="s">
        <v>1112</v>
      </c>
      <c r="K299" s="0" t="s">
        <v>1113</v>
      </c>
      <c r="L299" s="0" t="s">
        <v>32</v>
      </c>
      <c r="M299" s="0" t="s">
        <v>61</v>
      </c>
      <c r="N299" s="0" t="s">
        <v>647</v>
      </c>
      <c r="O299" s="0" t="s">
        <v>110</v>
      </c>
      <c r="P299" s="0" t="s">
        <v>1016</v>
      </c>
      <c r="Q299" s="0" t="s">
        <v>1113</v>
      </c>
      <c r="R299" s="0" t="s">
        <v>1109</v>
      </c>
      <c r="S299" s="0" t="s">
        <v>647</v>
      </c>
      <c r="T299" s="0">
        <f>HYPERLINK("https://storage.sslt.ae/ItemVariation/08DCE519-7164-47A4-8B7F-1CB2211D40E7/328E2EC6-12A1-4F4F-9650-5822389E7A5E.png","Variant Image")</f>
      </c>
      <c r="U299" s="0">
        <f>HYPERLINK("https://ec-qa-storage.kldlms.com/Item/08DCE519-7164-47A4-8B7F-1CB2211D40E7/F84A7B49-2BCF-402A-8B60-E0448FFA4828.png","Thumbnail Image")</f>
      </c>
      <c r="V299" s="0">
        <f>HYPERLINK("https://ec-qa-storage.kldlms.com/ItemGallery/08DCE519-7164-47A4-8B7F-1CB2211D40E7/5200AB3A-7771-4DF3-9E4D-65672AC64A4B.png","Gallery Image ")</f>
      </c>
      <c r="W299" s="0" t="s">
        <v>22</v>
      </c>
      <c r="X299" s="0" t="s">
        <v>1114</v>
      </c>
    </row>
    <row r="300">
      <c r="P300" s="0" t="s">
        <v>590</v>
      </c>
      <c r="Q300" s="0" t="s">
        <v>1115</v>
      </c>
      <c r="R300" s="0" t="s">
        <v>1116</v>
      </c>
      <c r="S300" s="0" t="s">
        <v>787</v>
      </c>
      <c r="T300" s="0">
        <f>HYPERLINK("https://storage.sslt.ae/ItemVariation/08DCE519-7164-47A4-8B7F-1CB2211D40E7/5441ADD4-C34E-4F17-A116-531841D01124.webp","Variant Image")</f>
      </c>
      <c r="X300" s="0" t="s">
        <v>1117</v>
      </c>
    </row>
    <row r="301">
      <c r="P301" s="0" t="s">
        <v>134</v>
      </c>
      <c r="Q301" s="0" t="s">
        <v>1118</v>
      </c>
      <c r="R301" s="0" t="s">
        <v>1109</v>
      </c>
      <c r="S301" s="0" t="s">
        <v>1119</v>
      </c>
      <c r="T301" s="0">
        <f>HYPERLINK("https://storage.sslt.ae/ItemVariation/08DCE519-7164-47A4-8B7F-1CB2211D40E7/22E3D876-6CD5-4EB7-B651-B61885B59B33.webp","Variant Image")</f>
      </c>
      <c r="X301" s="0" t="s">
        <v>1114</v>
      </c>
    </row>
    <row r="302">
      <c r="A302" s="0" t="s">
        <v>1035</v>
      </c>
      <c r="B302" s="0" t="s">
        <v>1036</v>
      </c>
      <c r="C302" s="0" t="s">
        <v>1120</v>
      </c>
      <c r="D302" s="0" t="s">
        <v>27</v>
      </c>
      <c r="E302" s="0" t="s">
        <v>28</v>
      </c>
      <c r="F302" s="0" t="s">
        <v>29</v>
      </c>
      <c r="G302" s="0" t="s">
        <v>1121</v>
      </c>
      <c r="H302" s="0" t="s">
        <v>1121</v>
      </c>
      <c r="I302" s="0" t="s">
        <v>1122</v>
      </c>
      <c r="J302" s="0" t="s">
        <v>1123</v>
      </c>
      <c r="K302" s="0" t="s">
        <v>1124</v>
      </c>
      <c r="L302" s="0" t="s">
        <v>32</v>
      </c>
      <c r="M302" s="0" t="s">
        <v>61</v>
      </c>
      <c r="N302" s="0" t="s">
        <v>205</v>
      </c>
      <c r="O302" s="0" t="s">
        <v>110</v>
      </c>
      <c r="P302" s="0" t="s">
        <v>134</v>
      </c>
      <c r="Q302" s="0" t="s">
        <v>1124</v>
      </c>
      <c r="R302" s="0" t="s">
        <v>1120</v>
      </c>
      <c r="S302" s="0" t="s">
        <v>205</v>
      </c>
      <c r="T302" s="0">
        <f>HYPERLINK("https://storage.sslt.ae/ItemVariation/08DCE698-1F5F-40FC-8358-18BF0509E7BB/BA611DAD-0C9C-45FE-9237-FE88BE4ADD50.webp","Variant Image")</f>
      </c>
      <c r="U302" s="0">
        <f>HYPERLINK("https://ec-qa-storage.kldlms.com/Item/08DCE698-1F5F-40FC-8358-18BF0509E7BB/3A8CB52D-BDDE-4037-AA2A-3E9963C361B6.png","Thumbnail Image")</f>
      </c>
      <c r="V302" s="0">
        <f>HYPERLINK("https://ec-qa-storage.kldlms.com/ItemGallery/08DCE698-1F5F-40FC-8358-18BF0509E7BB/078AEB9A-7A70-4069-861E-5A479A9D9058.png","Gallery Image ")</f>
      </c>
      <c r="W302" s="0" t="s">
        <v>22</v>
      </c>
      <c r="X302" s="0" t="s">
        <v>1125</v>
      </c>
    </row>
    <row r="303">
      <c r="A303" s="0" t="s">
        <v>1035</v>
      </c>
      <c r="B303" s="0" t="s">
        <v>1036</v>
      </c>
      <c r="C303" s="0" t="s">
        <v>1126</v>
      </c>
      <c r="D303" s="0" t="s">
        <v>27</v>
      </c>
      <c r="E303" s="0" t="s">
        <v>28</v>
      </c>
      <c r="F303" s="0" t="s">
        <v>29</v>
      </c>
      <c r="G303" s="0" t="s">
        <v>1082</v>
      </c>
      <c r="H303" s="0" t="s">
        <v>1082</v>
      </c>
      <c r="I303" s="0" t="s">
        <v>1127</v>
      </c>
      <c r="J303" s="0" t="s">
        <v>1128</v>
      </c>
      <c r="K303" s="0" t="s">
        <v>124</v>
      </c>
      <c r="L303" s="0" t="s">
        <v>32</v>
      </c>
      <c r="M303" s="0" t="s">
        <v>61</v>
      </c>
      <c r="N303" s="0" t="s">
        <v>243</v>
      </c>
      <c r="O303" s="0" t="s">
        <v>110</v>
      </c>
      <c r="P303" s="0" t="s">
        <v>996</v>
      </c>
      <c r="Q303" s="0" t="s">
        <v>1129</v>
      </c>
      <c r="R303" s="0" t="s">
        <v>1130</v>
      </c>
      <c r="S303" s="0" t="s">
        <v>349</v>
      </c>
      <c r="T303" s="0">
        <f>HYPERLINK("https://storage.sslt.ae/ItemVariation/08DCE69C-0D51-43E4-8F07-D16463789217/441D43A0-9B95-4C11-AEB6-41A5C382F59D.png","Variant Image")</f>
      </c>
      <c r="U303" s="0">
        <f>HYPERLINK("https://ec-qa-storage.kldlms.com/Item/08DCE69C-0D51-43E4-8F07-D16463789217/FAB7749D-4064-4D88-BB36-A39B5AA6C345.png","Thumbnail Image")</f>
      </c>
      <c r="V303" s="0">
        <f>HYPERLINK("https://ec-qa-storage.kldlms.com/ItemGallery/08DCE69C-0D51-43E4-8F07-D16463789217/2BBE0800-C499-41A9-B894-5AC8B29C9CD1.png","Gallery Image ")</f>
      </c>
      <c r="W303" s="0" t="s">
        <v>22</v>
      </c>
      <c r="X303" s="0" t="s">
        <v>1131</v>
      </c>
    </row>
    <row r="304">
      <c r="P304" s="0" t="s">
        <v>1016</v>
      </c>
      <c r="Q304" s="0" t="s">
        <v>124</v>
      </c>
      <c r="R304" s="0" t="s">
        <v>1126</v>
      </c>
      <c r="S304" s="0" t="s">
        <v>243</v>
      </c>
      <c r="T304" s="0">
        <f>HYPERLINK("https://storage.sslt.ae/ItemVariation/08DCE69C-0D51-43E4-8F07-D16463789217/4BCDACD8-F9E3-40C6-A86A-A6AFA3BCB6A2.png","Variant Image")</f>
      </c>
      <c r="X304" s="0" t="s">
        <v>1132</v>
      </c>
    </row>
    <row r="305">
      <c r="P305" s="0" t="s">
        <v>134</v>
      </c>
      <c r="Q305" s="0" t="s">
        <v>1129</v>
      </c>
      <c r="R305" s="0" t="s">
        <v>1133</v>
      </c>
      <c r="S305" s="0" t="s">
        <v>205</v>
      </c>
      <c r="T305" s="0">
        <f>HYPERLINK("","Variant Image")</f>
      </c>
      <c r="X305" s="0" t="s">
        <v>1134</v>
      </c>
    </row>
    <row r="306">
      <c r="A306" s="0" t="s">
        <v>1035</v>
      </c>
      <c r="B306" s="0" t="s">
        <v>1036</v>
      </c>
      <c r="C306" s="0" t="s">
        <v>1135</v>
      </c>
      <c r="D306" s="0" t="s">
        <v>27</v>
      </c>
      <c r="E306" s="0" t="s">
        <v>28</v>
      </c>
      <c r="F306" s="0" t="s">
        <v>29</v>
      </c>
      <c r="G306" s="0" t="s">
        <v>1136</v>
      </c>
      <c r="H306" s="0" t="s">
        <v>1136</v>
      </c>
      <c r="I306" s="0" t="s">
        <v>1137</v>
      </c>
      <c r="J306" s="0" t="s">
        <v>1138</v>
      </c>
      <c r="K306" s="0" t="s">
        <v>1139</v>
      </c>
      <c r="L306" s="0" t="s">
        <v>32</v>
      </c>
      <c r="M306" s="0" t="s">
        <v>61</v>
      </c>
      <c r="N306" s="0" t="s">
        <v>164</v>
      </c>
      <c r="O306" s="0" t="s">
        <v>110</v>
      </c>
      <c r="P306" s="0" t="s">
        <v>1016</v>
      </c>
      <c r="Q306" s="0" t="s">
        <v>1140</v>
      </c>
      <c r="R306" s="0" t="s">
        <v>1141</v>
      </c>
      <c r="S306" s="0" t="s">
        <v>202</v>
      </c>
      <c r="T306" s="0">
        <f>HYPERLINK("https://storage.sslt.ae/ItemVariation/08DCE6A0-19F9-446E-8349-AAEE228E3E79/72169CFD-DCEE-4C57-B720-A38A54ECC64E.png","Variant Image")</f>
      </c>
      <c r="U306" s="0">
        <f>HYPERLINK("https://ec-qa-storage.kldlms.com/Item/08DCE6A0-19F9-446E-8349-AAEE228E3E79/447DFC78-92F2-453B-9DA2-02F1849875B8.png","Thumbnail Image")</f>
      </c>
      <c r="V306" s="0">
        <f>HYPERLINK("https://ec-qa-storage.kldlms.com/ItemGallery/08DCE6A0-19F9-446E-8349-AAEE228E3E79/95112DA0-94A9-44DA-8C3F-F372ACCA2AEC.png","Gallery Image ")</f>
      </c>
      <c r="W306" s="0" t="s">
        <v>22</v>
      </c>
      <c r="X306" s="0" t="s">
        <v>1142</v>
      </c>
    </row>
    <row r="307">
      <c r="P307" s="0" t="s">
        <v>527</v>
      </c>
      <c r="Q307" s="0" t="s">
        <v>1139</v>
      </c>
      <c r="R307" s="0" t="s">
        <v>1135</v>
      </c>
      <c r="S307" s="0" t="s">
        <v>164</v>
      </c>
      <c r="T307" s="0">
        <f>HYPERLINK("","Variant Image")</f>
      </c>
      <c r="X307" s="0" t="s">
        <v>1143</v>
      </c>
    </row>
    <row r="308">
      <c r="A308" s="0" t="s">
        <v>1144</v>
      </c>
      <c r="B308" s="0" t="s">
        <v>1145</v>
      </c>
      <c r="C308" s="0" t="s">
        <v>1146</v>
      </c>
      <c r="D308" s="0" t="s">
        <v>27</v>
      </c>
      <c r="E308" s="0" t="s">
        <v>315</v>
      </c>
      <c r="F308" s="0" t="s">
        <v>29</v>
      </c>
      <c r="G308" s="0" t="s">
        <v>1147</v>
      </c>
      <c r="H308" s="0" t="s">
        <v>1147</v>
      </c>
      <c r="I308" s="0" t="s">
        <v>1148</v>
      </c>
      <c r="J308" s="0" t="s">
        <v>1148</v>
      </c>
      <c r="K308" s="0" t="s">
        <v>1149</v>
      </c>
      <c r="L308" s="0" t="s">
        <v>32</v>
      </c>
      <c r="M308" s="0" t="s">
        <v>61</v>
      </c>
      <c r="N308" s="0" t="s">
        <v>205</v>
      </c>
      <c r="O308" s="0" t="s">
        <v>110</v>
      </c>
      <c r="P308" s="0" t="s">
        <v>203</v>
      </c>
      <c r="Q308" s="0" t="s">
        <v>1150</v>
      </c>
      <c r="R308" s="0" t="s">
        <v>1151</v>
      </c>
      <c r="S308" s="0" t="s">
        <v>100</v>
      </c>
      <c r="T308" s="0">
        <f>HYPERLINK("https://storage.sslt.ae/ItemVariation/08DCE6A4-FA15-4D25-8D20-F4C9F8BC003D/D7889B03-9EFB-442A-869D-57457708D3BD.webp","Variant Image")</f>
      </c>
      <c r="U308" s="0">
        <f>HYPERLINK("https://ec-qa-storage.kldlms.com/Item/08DCE6A4-FA15-4D25-8D20-F4C9F8BC003D/D3BF2E46-88A6-4A11-9457-78474166FB84.png","Thumbnail Image")</f>
      </c>
      <c r="V308" s="0">
        <f>HYPERLINK("https://ec-qa-storage.kldlms.com/ItemGallery/08DCE6A4-FA15-4D25-8D20-F4C9F8BC003D/391DCDFA-654F-424B-8948-5E5D6A8BE266.png","Gallery Image ")</f>
      </c>
      <c r="W308" s="0" t="s">
        <v>22</v>
      </c>
      <c r="X308" s="0" t="s">
        <v>1152</v>
      </c>
    </row>
    <row r="309">
      <c r="P309" s="0" t="s">
        <v>36</v>
      </c>
      <c r="Q309" s="0" t="s">
        <v>1149</v>
      </c>
      <c r="R309" s="0" t="s">
        <v>1146</v>
      </c>
      <c r="S309" s="0" t="s">
        <v>205</v>
      </c>
      <c r="T309" s="0">
        <f>HYPERLINK("https://storage.sslt.ae/ItemVariation/08DCE6A4-FA15-4D25-8D20-F4C9F8BC003D/3580E96B-1925-411F-BA90-A7AAD2F23188.webp","Variant Image")</f>
      </c>
      <c r="X309" s="0" t="s">
        <v>1153</v>
      </c>
    </row>
    <row r="310">
      <c r="P310" s="0" t="s">
        <v>134</v>
      </c>
      <c r="Q310" s="0" t="s">
        <v>1154</v>
      </c>
      <c r="R310" s="0" t="s">
        <v>1155</v>
      </c>
      <c r="S310" s="0" t="s">
        <v>202</v>
      </c>
      <c r="T310" s="0">
        <f>HYPERLINK("https://storage.sslt.ae/ItemVariation/08DCE6A4-FA15-4D25-8D20-F4C9F8BC003D/9878868B-11B0-4BC9-98A0-1F87D6A0CC10.webp","Variant Image")</f>
      </c>
      <c r="X310" s="0" t="s">
        <v>1156</v>
      </c>
    </row>
    <row r="311">
      <c r="A311" s="0" t="s">
        <v>1035</v>
      </c>
      <c r="B311" s="0" t="s">
        <v>1036</v>
      </c>
      <c r="C311" s="0" t="s">
        <v>1157</v>
      </c>
      <c r="D311" s="0" t="s">
        <v>27</v>
      </c>
      <c r="E311" s="0" t="s">
        <v>28</v>
      </c>
      <c r="F311" s="0" t="s">
        <v>29</v>
      </c>
      <c r="G311" s="0" t="s">
        <v>1158</v>
      </c>
      <c r="H311" s="0" t="s">
        <v>1158</v>
      </c>
      <c r="I311" s="0" t="s">
        <v>1159</v>
      </c>
      <c r="J311" s="0" t="s">
        <v>1160</v>
      </c>
      <c r="K311" s="0" t="s">
        <v>1161</v>
      </c>
      <c r="L311" s="0" t="s">
        <v>32</v>
      </c>
      <c r="M311" s="0" t="s">
        <v>61</v>
      </c>
      <c r="N311" s="0" t="s">
        <v>1119</v>
      </c>
      <c r="O311" s="0" t="s">
        <v>110</v>
      </c>
      <c r="P311" s="0" t="s">
        <v>1016</v>
      </c>
      <c r="Q311" s="0" t="s">
        <v>1161</v>
      </c>
      <c r="R311" s="0" t="s">
        <v>1157</v>
      </c>
      <c r="S311" s="0" t="s">
        <v>1119</v>
      </c>
      <c r="T311" s="0">
        <f>HYPERLINK("https://storage.sslt.ae/ItemVariation/08DCE6AF-9D30-4BDF-82B7-F7993F890D28/29A9317A-6A77-491F-8D68-14EAF99E0A3E.png","Variant Image")</f>
      </c>
      <c r="U311" s="0">
        <f>HYPERLINK("https://ec-qa-storage.kldlms.com/Item/08DCE6AF-9D30-4BDF-82B7-F7993F890D28/F3BDBD28-735E-4D41-98EF-97B825A03CA9.png","Thumbnail Image")</f>
      </c>
      <c r="V311" s="0">
        <f>HYPERLINK("https://ec-qa-storage.kldlms.com/ItemGallery/08DCE6AF-9D30-4BDF-82B7-F7993F890D28/EEBD8012-7084-461B-9D71-0E404FB2DA63.png","Gallery Image ")</f>
      </c>
      <c r="W311" s="0" t="s">
        <v>22</v>
      </c>
      <c r="X311" s="0" t="s">
        <v>1162</v>
      </c>
    </row>
    <row r="312">
      <c r="A312" s="0" t="s">
        <v>1035</v>
      </c>
      <c r="B312" s="0" t="s">
        <v>1036</v>
      </c>
      <c r="C312" s="0" t="s">
        <v>1163</v>
      </c>
      <c r="D312" s="0" t="s">
        <v>27</v>
      </c>
      <c r="E312" s="0" t="s">
        <v>28</v>
      </c>
      <c r="F312" s="0" t="s">
        <v>29</v>
      </c>
      <c r="G312" s="0" t="s">
        <v>1164</v>
      </c>
      <c r="H312" s="0" t="s">
        <v>1164</v>
      </c>
      <c r="I312" s="0" t="s">
        <v>1165</v>
      </c>
      <c r="J312" s="0" t="s">
        <v>1166</v>
      </c>
      <c r="K312" s="0" t="s">
        <v>1150</v>
      </c>
      <c r="L312" s="0" t="s">
        <v>32</v>
      </c>
      <c r="M312" s="0" t="s">
        <v>61</v>
      </c>
      <c r="N312" s="0" t="s">
        <v>349</v>
      </c>
      <c r="O312" s="0" t="s">
        <v>110</v>
      </c>
      <c r="P312" s="0" t="s">
        <v>1016</v>
      </c>
      <c r="Q312" s="0" t="s">
        <v>1167</v>
      </c>
      <c r="R312" s="0" t="s">
        <v>1168</v>
      </c>
      <c r="S312" s="0" t="s">
        <v>164</v>
      </c>
      <c r="T312" s="0">
        <f>HYPERLINK("https://storage.sslt.ae/ItemVariation/08DCE6C2-B3D3-4AB5-8537-533A4D676632/3CE514F7-1EF6-49BE-B8CB-E36CB263B3FF.png","Variant Image")</f>
      </c>
      <c r="U312" s="0">
        <f>HYPERLINK("https://ec-qa-storage.kldlms.com/Item/08DCE6C2-B3D3-4AB5-8537-533A4D676632/4D60A123-0A07-4DE9-BE70-D23211147599.png","Thumbnail Image")</f>
      </c>
      <c r="V312" s="0">
        <f>HYPERLINK("https://ec-qa-storage.kldlms.com/ItemGallery/08DCE6C2-B3D3-4AB5-8537-533A4D676632/BF3F2707-59D0-4D18-85E8-A29114D0CDAC.png","Gallery Image ")</f>
      </c>
      <c r="W312" s="0" t="s">
        <v>22</v>
      </c>
      <c r="X312" s="0" t="s">
        <v>1169</v>
      </c>
    </row>
    <row r="313">
      <c r="P313" s="0" t="s">
        <v>527</v>
      </c>
      <c r="Q313" s="0" t="s">
        <v>1150</v>
      </c>
      <c r="R313" s="0" t="s">
        <v>1163</v>
      </c>
      <c r="S313" s="0" t="s">
        <v>349</v>
      </c>
      <c r="T313" s="0">
        <f>HYPERLINK("https://storage.sslt.ae/ItemVariation/08DCE6C2-B3D3-4AB5-8537-533A4D676632/882B56EE-5D7B-4D28-8EA0-36B03794E6A3.png","Variant Image")</f>
      </c>
      <c r="X313" s="0" t="s">
        <v>1170</v>
      </c>
    </row>
    <row r="314">
      <c r="P314" s="0" t="s">
        <v>134</v>
      </c>
      <c r="Q314" s="0" t="s">
        <v>1171</v>
      </c>
      <c r="R314" s="0" t="s">
        <v>1172</v>
      </c>
      <c r="S314" s="0" t="s">
        <v>164</v>
      </c>
      <c r="T314" s="0">
        <f>HYPERLINK("https://storage.sslt.ae/ItemVariation/08DCE6C2-B3D3-4AB5-8537-533A4D676632/8BC1411D-DAF1-439B-B760-C6D0F203252B.png","Variant Image")</f>
      </c>
      <c r="X314" s="0" t="s">
        <v>1173</v>
      </c>
    </row>
    <row r="315">
      <c r="A315" s="0" t="s">
        <v>1035</v>
      </c>
      <c r="B315" s="0" t="s">
        <v>1036</v>
      </c>
      <c r="C315" s="0" t="s">
        <v>1174</v>
      </c>
      <c r="D315" s="0" t="s">
        <v>27</v>
      </c>
      <c r="E315" s="0" t="s">
        <v>685</v>
      </c>
      <c r="F315" s="0" t="s">
        <v>29</v>
      </c>
      <c r="G315" s="0" t="s">
        <v>1175</v>
      </c>
      <c r="H315" s="0" t="s">
        <v>1175</v>
      </c>
      <c r="I315" s="0" t="s">
        <v>1176</v>
      </c>
      <c r="J315" s="0" t="s">
        <v>1177</v>
      </c>
      <c r="K315" s="0" t="s">
        <v>1178</v>
      </c>
      <c r="L315" s="0" t="s">
        <v>32</v>
      </c>
      <c r="M315" s="0" t="s">
        <v>61</v>
      </c>
      <c r="N315" s="0" t="s">
        <v>1030</v>
      </c>
      <c r="O315" s="0" t="s">
        <v>110</v>
      </c>
      <c r="P315" s="0" t="s">
        <v>1016</v>
      </c>
      <c r="Q315" s="0" t="s">
        <v>526</v>
      </c>
      <c r="R315" s="0" t="s">
        <v>1179</v>
      </c>
      <c r="S315" s="0" t="s">
        <v>1180</v>
      </c>
      <c r="T315" s="0">
        <f>HYPERLINK("https://storage.sslt.ae/ItemVariation/08DCE6CA-7AB4-4EFF-88D5-F01501FBB86F/B9A8F66F-D2D0-4476-AD7A-F99266394D98.png","Variant Image")</f>
      </c>
      <c r="U315" s="0">
        <f>HYPERLINK("https://ec-qa-storage.kldlms.com/Item/08DCE6CA-7AB4-4EFF-88D5-F01501FBB86F/85D5444A-A9B0-4BA7-8763-019C0412F0BA.png","Thumbnail Image")</f>
      </c>
      <c r="V315" s="0">
        <f>HYPERLINK("https://ec-qa-storage.kldlms.com/ItemGallery/08DCE6CA-7AB4-4EFF-88D5-F01501FBB86F/0AA7FDDD-3C77-456E-B44D-EE91800B6E35.png","Gallery Image ")</f>
      </c>
      <c r="W315" s="0" t="s">
        <v>22</v>
      </c>
      <c r="X315" s="0" t="s">
        <v>1181</v>
      </c>
    </row>
    <row r="316">
      <c r="P316" s="0" t="s">
        <v>590</v>
      </c>
      <c r="Q316" s="0" t="s">
        <v>1182</v>
      </c>
      <c r="R316" s="0" t="s">
        <v>1183</v>
      </c>
      <c r="S316" s="0" t="s">
        <v>1030</v>
      </c>
      <c r="T316" s="0">
        <f>HYPERLINK("https://storage.sslt.ae/ItemVariation/08DCE6CA-7AB4-4EFF-88D5-F01501FBB86F/C99F25EB-EDB1-4B34-936C-61013FC5A63D.webp","Variant Image")</f>
      </c>
      <c r="X316" s="0" t="s">
        <v>1184</v>
      </c>
    </row>
    <row r="317">
      <c r="P317" s="0" t="s">
        <v>527</v>
      </c>
      <c r="Q317" s="0" t="s">
        <v>1178</v>
      </c>
      <c r="R317" s="0" t="s">
        <v>1174</v>
      </c>
      <c r="S317" s="0" t="s">
        <v>1030</v>
      </c>
      <c r="T317" s="0">
        <f>HYPERLINK("https://storage.sslt.ae/ItemVariation/08DCE6CA-7AB4-4EFF-88D5-F01501FBB86F/C3DAEA4B-C8F2-4BF7-AB2B-40AA4F156265.png","Variant Image")</f>
      </c>
      <c r="X317" s="0" t="s">
        <v>1185</v>
      </c>
    </row>
    <row r="318">
      <c r="P318" s="0" t="s">
        <v>134</v>
      </c>
      <c r="Q318" s="0" t="s">
        <v>533</v>
      </c>
      <c r="R318" s="0" t="s">
        <v>1186</v>
      </c>
      <c r="S318" s="0" t="s">
        <v>1187</v>
      </c>
      <c r="T318" s="0">
        <f>HYPERLINK("https://storage.sslt.ae/ItemVariation/08DCE6CA-7AB4-4EFF-88D5-F01501FBB86F/99C98A4C-1114-4D5C-BDA8-8F4ADDD77FDF.webp","Variant Image")</f>
      </c>
      <c r="X318" s="0" t="s">
        <v>1188</v>
      </c>
    </row>
    <row r="319">
      <c r="A319" s="0" t="s">
        <v>1189</v>
      </c>
      <c r="B319" s="0" t="s">
        <v>1189</v>
      </c>
      <c r="C319" s="0" t="s">
        <v>1190</v>
      </c>
      <c r="D319" s="0" t="s">
        <v>27</v>
      </c>
      <c r="E319" s="0" t="s">
        <v>58</v>
      </c>
      <c r="F319" s="0" t="s">
        <v>29</v>
      </c>
      <c r="G319" s="0" t="s">
        <v>1191</v>
      </c>
      <c r="H319" s="0" t="s">
        <v>1191</v>
      </c>
      <c r="I319" s="0" t="s">
        <v>1192</v>
      </c>
      <c r="J319" s="0" t="s">
        <v>1193</v>
      </c>
      <c r="K319" s="0" t="s">
        <v>1194</v>
      </c>
      <c r="L319" s="0" t="s">
        <v>32</v>
      </c>
      <c r="M319" s="0" t="s">
        <v>61</v>
      </c>
      <c r="N319" s="0" t="s">
        <v>647</v>
      </c>
      <c r="O319" s="0" t="s">
        <v>110</v>
      </c>
      <c r="P319" s="0" t="s">
        <v>1195</v>
      </c>
      <c r="Q319" s="0" t="s">
        <v>1194</v>
      </c>
      <c r="R319" s="0" t="s">
        <v>1190</v>
      </c>
      <c r="S319" s="0" t="s">
        <v>647</v>
      </c>
      <c r="T319" s="0">
        <f>HYPERLINK("https://storage.sslt.ae/ItemVariation/08DCE6CC-C949-4DD8-8F35-68313491BED4/16F609A3-E9F3-464C-AEDA-A18B608865E1.png","Variant Image")</f>
      </c>
      <c r="U319" s="0">
        <f>HYPERLINK("https://ec-qa-storage.kldlms.com/Item/08DCE6CC-C949-4DD8-8F35-68313491BED4/FA952AEA-6681-4CA3-AD6E-37F4F1B2EB76.jpeg","Thumbnail Image")</f>
      </c>
      <c r="V319" s="0">
        <f>HYPERLINK("https://ec-qa-storage.kldlms.com/ItemGallery/08DCE6CC-C949-4DD8-8F35-68313491BED4/BAD28AEC-7B16-499F-A08C-394F566A6B2C.png","Gallery Image ")</f>
      </c>
      <c r="W319" s="0" t="s">
        <v>22</v>
      </c>
      <c r="X319" s="0" t="s">
        <v>1196</v>
      </c>
    </row>
    <row r="320">
      <c r="A320" s="0" t="s">
        <v>1035</v>
      </c>
      <c r="B320" s="0" t="s">
        <v>1036</v>
      </c>
      <c r="C320" s="0" t="s">
        <v>1197</v>
      </c>
      <c r="D320" s="0" t="s">
        <v>27</v>
      </c>
      <c r="E320" s="0" t="s">
        <v>685</v>
      </c>
      <c r="F320" s="0" t="s">
        <v>29</v>
      </c>
      <c r="G320" s="0" t="s">
        <v>1198</v>
      </c>
      <c r="H320" s="0" t="s">
        <v>1198</v>
      </c>
      <c r="I320" s="0" t="s">
        <v>1199</v>
      </c>
      <c r="J320" s="0" t="s">
        <v>1200</v>
      </c>
      <c r="K320" s="0" t="s">
        <v>1201</v>
      </c>
      <c r="L320" s="0" t="s">
        <v>32</v>
      </c>
      <c r="M320" s="0" t="s">
        <v>61</v>
      </c>
      <c r="N320" s="0" t="s">
        <v>1202</v>
      </c>
      <c r="O320" s="0" t="s">
        <v>110</v>
      </c>
      <c r="P320" s="0" t="s">
        <v>1016</v>
      </c>
      <c r="Q320" s="0" t="s">
        <v>1203</v>
      </c>
      <c r="R320" s="0" t="s">
        <v>1204</v>
      </c>
      <c r="S320" s="0" t="s">
        <v>877</v>
      </c>
      <c r="T320" s="0">
        <f>HYPERLINK("https://storage.sslt.ae/ItemVariation/08DCE6DA-5742-4479-8AC9-BF259342216F/1942423C-772C-466D-94E7-37E66B57F6A0.png","Variant Image")</f>
      </c>
      <c r="U320" s="0">
        <f>HYPERLINK("https://ec-qa-storage.kldlms.com/Item/08DCE6DA-5742-4479-8AC9-BF259342216F/6687D44E-C653-4A4C-8F30-8B23A414607F.png","Thumbnail Image")</f>
      </c>
      <c r="V320" s="0">
        <f>HYPERLINK("https://ec-qa-storage.kldlms.com/ItemGallery/08DCE6DA-5742-4479-8AC9-BF259342216F/08808831-AAC0-4045-8DD0-73F835D05BBB.png","Gallery Image ")</f>
      </c>
      <c r="W320" s="0" t="s">
        <v>22</v>
      </c>
      <c r="X320" s="0" t="s">
        <v>1205</v>
      </c>
    </row>
    <row r="321">
      <c r="P321" s="0" t="s">
        <v>590</v>
      </c>
      <c r="Q321" s="0" t="s">
        <v>1206</v>
      </c>
      <c r="R321" s="0" t="s">
        <v>1207</v>
      </c>
      <c r="S321" s="0" t="s">
        <v>1208</v>
      </c>
      <c r="T321" s="0">
        <f>HYPERLINK("https://storage.sslt.ae/ItemVariation/08DCE6DA-5742-4479-8AC9-BF259342216F/2804F86B-6ED1-46D1-8B80-AFACB34AD655.png","Variant Image")</f>
      </c>
      <c r="X321" s="0" t="s">
        <v>1209</v>
      </c>
    </row>
    <row r="322">
      <c r="P322" s="0" t="s">
        <v>527</v>
      </c>
      <c r="Q322" s="0" t="s">
        <v>1201</v>
      </c>
      <c r="R322" s="0" t="s">
        <v>1197</v>
      </c>
      <c r="S322" s="0" t="s">
        <v>1202</v>
      </c>
      <c r="T322" s="0">
        <f>HYPERLINK("https://storage.sslt.ae/ItemVariation/08DCE6DA-5742-4479-8AC9-BF259342216F/2BC2D40F-49BB-441A-91CE-6E2ED26E222B.png","Variant Image")</f>
      </c>
      <c r="X322" s="0" t="s">
        <v>1210</v>
      </c>
    </row>
    <row r="323">
      <c r="P323" s="0" t="s">
        <v>134</v>
      </c>
      <c r="Q323" s="0" t="s">
        <v>1211</v>
      </c>
      <c r="R323" s="0" t="s">
        <v>1197</v>
      </c>
      <c r="S323" s="0" t="s">
        <v>1212</v>
      </c>
      <c r="T323" s="0">
        <f>HYPERLINK("https://storage.sslt.ae/ItemVariation/08DCE6DA-5742-4479-8AC9-BF259342216F/5527D1A8-FB39-44FC-A956-9A0DD7C10337.png","Variant Image")</f>
      </c>
      <c r="X323" s="0" t="s">
        <v>1210</v>
      </c>
    </row>
    <row r="324">
      <c r="P324" s="0" t="s">
        <v>593</v>
      </c>
      <c r="Q324" s="0" t="s">
        <v>1203</v>
      </c>
      <c r="R324" s="0" t="s">
        <v>1213</v>
      </c>
      <c r="S324" s="0" t="s">
        <v>877</v>
      </c>
      <c r="T324" s="0">
        <f>HYPERLINK("https://storage.sslt.ae/ItemVariation/08DCE6DA-5742-4479-8AC9-BF259342216F/4EEACBAF-D753-403D-B9E8-E84752111454.png","Variant Image")</f>
      </c>
      <c r="X324" s="0" t="s">
        <v>1214</v>
      </c>
    </row>
    <row r="325">
      <c r="A325" s="0" t="s">
        <v>1035</v>
      </c>
      <c r="B325" s="0" t="s">
        <v>1036</v>
      </c>
      <c r="C325" s="0" t="s">
        <v>1215</v>
      </c>
      <c r="D325" s="0" t="s">
        <v>27</v>
      </c>
      <c r="E325" s="0" t="s">
        <v>685</v>
      </c>
      <c r="F325" s="0" t="s">
        <v>29</v>
      </c>
      <c r="G325" s="0" t="s">
        <v>1216</v>
      </c>
      <c r="H325" s="0" t="s">
        <v>1216</v>
      </c>
      <c r="I325" s="0" t="s">
        <v>1217</v>
      </c>
      <c r="J325" s="0" t="s">
        <v>1218</v>
      </c>
      <c r="K325" s="0" t="s">
        <v>1219</v>
      </c>
      <c r="L325" s="0" t="s">
        <v>32</v>
      </c>
      <c r="M325" s="0" t="s">
        <v>61</v>
      </c>
      <c r="N325" s="0" t="s">
        <v>1220</v>
      </c>
      <c r="O325" s="0" t="s">
        <v>110</v>
      </c>
      <c r="P325" s="0" t="s">
        <v>1016</v>
      </c>
      <c r="Q325" s="0" t="s">
        <v>1219</v>
      </c>
      <c r="R325" s="0" t="s">
        <v>1215</v>
      </c>
      <c r="S325" s="0" t="s">
        <v>1220</v>
      </c>
      <c r="T325" s="0">
        <f>HYPERLINK("https://storage.sslt.ae/ItemVariation/08DCE75F-23D7-4F88-8FA9-677A72C045C0/3DEED5BB-9304-446A-B7FE-4EB2DEE774AC.png","Variant Image")</f>
      </c>
      <c r="U325" s="0">
        <f>HYPERLINK("https://ec-qa-storage.kldlms.com/Item/08DCE75F-23D7-4F88-8FA9-677A72C045C0/422B68FA-F7D5-40A8-B574-F24619EC5ED5.jpeg","Thumbnail Image")</f>
      </c>
      <c r="V325" s="0">
        <f>HYPERLINK("https://ec-qa-storage.kldlms.com/ItemGallery/08DCE75F-23D7-4F88-8FA9-677A72C045C0/AF4E3A60-E6E2-48FC-A2C0-F2485BAD0CFC.png","Gallery Image ")</f>
      </c>
      <c r="W325" s="0" t="s">
        <v>22</v>
      </c>
      <c r="X325" s="0" t="s">
        <v>1221</v>
      </c>
    </row>
    <row r="326">
      <c r="P326" s="0" t="s">
        <v>590</v>
      </c>
      <c r="Q326" s="0" t="s">
        <v>679</v>
      </c>
      <c r="R326" s="0" t="s">
        <v>1222</v>
      </c>
      <c r="S326" s="0" t="s">
        <v>647</v>
      </c>
      <c r="T326" s="0">
        <f>HYPERLINK("https://storage.sslt.ae/ItemVariation/08DCE75F-23D7-4F88-8FA9-677A72C045C0/E681BF9B-8209-4116-BE2D-35F84EA94852.jpeg","Variant Image")</f>
      </c>
      <c r="X326" s="0" t="s">
        <v>1223</v>
      </c>
    </row>
    <row r="327">
      <c r="A327" s="0" t="s">
        <v>1035</v>
      </c>
      <c r="B327" s="0" t="s">
        <v>1036</v>
      </c>
      <c r="C327" s="0" t="s">
        <v>1224</v>
      </c>
      <c r="D327" s="0" t="s">
        <v>27</v>
      </c>
      <c r="E327" s="0" t="s">
        <v>685</v>
      </c>
      <c r="F327" s="0" t="s">
        <v>29</v>
      </c>
      <c r="G327" s="0" t="s">
        <v>1225</v>
      </c>
      <c r="H327" s="0" t="s">
        <v>1225</v>
      </c>
      <c r="I327" s="0" t="s">
        <v>1226</v>
      </c>
      <c r="J327" s="0" t="s">
        <v>1227</v>
      </c>
      <c r="K327" s="0" t="s">
        <v>1228</v>
      </c>
      <c r="L327" s="0" t="s">
        <v>32</v>
      </c>
      <c r="M327" s="0" t="s">
        <v>61</v>
      </c>
      <c r="N327" s="0" t="s">
        <v>597</v>
      </c>
      <c r="O327" s="0" t="s">
        <v>110</v>
      </c>
      <c r="P327" s="0" t="s">
        <v>1016</v>
      </c>
      <c r="Q327" s="0" t="s">
        <v>1228</v>
      </c>
      <c r="R327" s="0" t="s">
        <v>1224</v>
      </c>
      <c r="S327" s="0" t="s">
        <v>597</v>
      </c>
      <c r="T327" s="0">
        <f>HYPERLINK("https://storage.sslt.ae/ItemVariation/08DCE764-C4FC-451A-84D4-D5AD4DF020A7/5F3E24DF-10AF-40A1-A79D-E1A0B29F58AB.png","Variant Image")</f>
      </c>
      <c r="U327" s="0">
        <f>HYPERLINK("https://ec-qa-storage.kldlms.com/Item/08DCE764-C4FC-451A-84D4-D5AD4DF020A7/96EA156A-4B01-440C-A125-81461059A524.png","Thumbnail Image")</f>
      </c>
      <c r="V327" s="0">
        <f>HYPERLINK("https://ec-qa-storage.kldlms.com/ItemGallery/08DCE764-C4FC-451A-84D4-D5AD4DF020A7/1021580D-8BC4-487A-B12F-5B3D4AC600E4.png","Gallery Image ")</f>
      </c>
      <c r="W327" s="0" t="s">
        <v>22</v>
      </c>
      <c r="X327" s="0" t="s">
        <v>1229</v>
      </c>
    </row>
    <row r="328">
      <c r="P328" s="0" t="s">
        <v>590</v>
      </c>
      <c r="Q328" s="0" t="s">
        <v>517</v>
      </c>
      <c r="R328" s="0" t="s">
        <v>1230</v>
      </c>
      <c r="S328" s="0" t="s">
        <v>647</v>
      </c>
      <c r="T328" s="0">
        <f>HYPERLINK("https://storage.sslt.ae/ItemVariation/08DCE764-C4FC-451A-84D4-D5AD4DF020A7/BED320FB-C293-404C-8465-2679610C064C.png","Variant Image")</f>
      </c>
      <c r="X328" s="0" t="s">
        <v>1231</v>
      </c>
    </row>
    <row r="329">
      <c r="P329" s="0" t="s">
        <v>111</v>
      </c>
      <c r="Q329" s="0" t="s">
        <v>1232</v>
      </c>
      <c r="R329" s="0" t="s">
        <v>1233</v>
      </c>
      <c r="S329" s="0" t="s">
        <v>866</v>
      </c>
      <c r="T329" s="0">
        <f>HYPERLINK("https://storage.sslt.ae/ItemVariation/08DCE764-C4FC-451A-84D4-D5AD4DF020A7/18B1CAC4-B71B-448C-B874-0AFB43B1B676.png","Variant Image")</f>
      </c>
      <c r="X329" s="0" t="s">
        <v>1234</v>
      </c>
    </row>
    <row r="330">
      <c r="A330" s="0" t="s">
        <v>1035</v>
      </c>
      <c r="B330" s="0" t="s">
        <v>1036</v>
      </c>
      <c r="C330" s="0" t="s">
        <v>1235</v>
      </c>
      <c r="D330" s="0" t="s">
        <v>27</v>
      </c>
      <c r="E330" s="0" t="s">
        <v>28</v>
      </c>
      <c r="F330" s="0" t="s">
        <v>29</v>
      </c>
      <c r="G330" s="0" t="s">
        <v>1236</v>
      </c>
      <c r="H330" s="0" t="s">
        <v>1236</v>
      </c>
      <c r="I330" s="0" t="s">
        <v>1237</v>
      </c>
      <c r="J330" s="0" t="s">
        <v>1238</v>
      </c>
      <c r="K330" s="0" t="s">
        <v>779</v>
      </c>
      <c r="L330" s="0" t="s">
        <v>32</v>
      </c>
      <c r="M330" s="0" t="s">
        <v>61</v>
      </c>
      <c r="N330" s="0" t="s">
        <v>254</v>
      </c>
      <c r="O330" s="0" t="s">
        <v>110</v>
      </c>
      <c r="P330" s="0" t="s">
        <v>1016</v>
      </c>
      <c r="Q330" s="0" t="s">
        <v>1239</v>
      </c>
      <c r="R330" s="0" t="s">
        <v>1240</v>
      </c>
      <c r="S330" s="0" t="s">
        <v>109</v>
      </c>
      <c r="T330" s="0">
        <f>HYPERLINK("https://storage.sslt.ae/ItemVariation/08DCE772-71A4-4319-822F-D17A72C55B88/7FBADFCD-0278-45F1-BDD2-A20FE7D7D283.png","Variant Image")</f>
      </c>
      <c r="U330" s="0">
        <f>HYPERLINK("https://ec-qa-storage.kldlms.com/Item/08DCE772-71A4-4319-822F-D17A72C55B88/9CCC1C46-DFF5-45CD-905D-E8103463D5FB.png","Thumbnail Image")</f>
      </c>
      <c r="V330" s="0">
        <f>HYPERLINK("https://ec-qa-storage.kldlms.com/ItemGallery/08DCE772-71A4-4319-822F-D17A72C55B88/897096A8-147C-45A9-B55A-78192C2BEE76.png","Gallery Image ")</f>
      </c>
      <c r="W330" s="0" t="s">
        <v>22</v>
      </c>
      <c r="X330" s="0" t="s">
        <v>1241</v>
      </c>
    </row>
    <row r="331">
      <c r="P331" s="0" t="s">
        <v>590</v>
      </c>
      <c r="Q331" s="0" t="s">
        <v>1099</v>
      </c>
      <c r="R331" s="0" t="s">
        <v>1242</v>
      </c>
      <c r="S331" s="0" t="s">
        <v>866</v>
      </c>
      <c r="T331" s="0">
        <f>HYPERLINK("https://storage.sslt.ae/ItemVariation/08DCE772-71A4-4319-822F-D17A72C55B88/2BE3BBC5-804B-4D06-A67A-6E7B66B992C6.webp","Variant Image")</f>
      </c>
      <c r="X331" s="0" t="s">
        <v>1243</v>
      </c>
    </row>
    <row r="332">
      <c r="P332" s="0" t="s">
        <v>527</v>
      </c>
      <c r="Q332" s="0" t="s">
        <v>779</v>
      </c>
      <c r="R332" s="0" t="s">
        <v>1235</v>
      </c>
      <c r="S332" s="0" t="s">
        <v>254</v>
      </c>
      <c r="T332" s="0">
        <f>HYPERLINK("https://storage.sslt.ae/ItemVariation/08DCE772-71A4-4319-822F-D17A72C55B88/D13289E5-98D5-486E-9890-92B49FAF6ABD.png","Variant Image")</f>
      </c>
      <c r="X332" s="0" t="s">
        <v>1244</v>
      </c>
    </row>
    <row r="333">
      <c r="P333" s="0" t="s">
        <v>134</v>
      </c>
      <c r="Q333" s="0" t="s">
        <v>1245</v>
      </c>
      <c r="R333" s="0" t="s">
        <v>1246</v>
      </c>
      <c r="S333" s="0" t="s">
        <v>160</v>
      </c>
      <c r="T333" s="0">
        <f>HYPERLINK("https://storage.sslt.ae/ItemVariation/08DCE772-71A4-4319-822F-D17A72C55B88/D53B328F-3C0C-4499-B25A-7F4D3A418974.webp","Variant Image")</f>
      </c>
      <c r="X333" s="0" t="s">
        <v>1247</v>
      </c>
    </row>
    <row r="334">
      <c r="A334" s="0" t="s">
        <v>1035</v>
      </c>
      <c r="B334" s="0" t="s">
        <v>1036</v>
      </c>
      <c r="C334" s="0" t="s">
        <v>1248</v>
      </c>
      <c r="D334" s="0" t="s">
        <v>27</v>
      </c>
      <c r="E334" s="0" t="s">
        <v>685</v>
      </c>
      <c r="F334" s="0" t="s">
        <v>29</v>
      </c>
      <c r="G334" s="0" t="s">
        <v>1249</v>
      </c>
      <c r="H334" s="0" t="s">
        <v>1249</v>
      </c>
      <c r="I334" s="0" t="s">
        <v>1250</v>
      </c>
      <c r="J334" s="0" t="s">
        <v>1251</v>
      </c>
      <c r="K334" s="0" t="s">
        <v>1252</v>
      </c>
      <c r="L334" s="0" t="s">
        <v>32</v>
      </c>
      <c r="M334" s="0" t="s">
        <v>61</v>
      </c>
      <c r="N334" s="0" t="s">
        <v>1022</v>
      </c>
      <c r="O334" s="0" t="s">
        <v>110</v>
      </c>
      <c r="P334" s="0" t="s">
        <v>996</v>
      </c>
      <c r="Q334" s="0" t="s">
        <v>1252</v>
      </c>
      <c r="R334" s="0" t="s">
        <v>1248</v>
      </c>
      <c r="S334" s="0" t="s">
        <v>1022</v>
      </c>
      <c r="T334" s="0">
        <f>HYPERLINK("https://storage.sslt.ae/ItemVariation/08DCE786-B7CE-42F8-82F0-44F169D16D24/61C33DCC-037B-4AEC-B167-72F802E5EB6F.png","Variant Image")</f>
      </c>
      <c r="U334" s="0">
        <f>HYPERLINK("https://ec-qa-storage.kldlms.com/Item/08DCE786-B7CE-42F8-82F0-44F169D16D24/5E62D394-30DE-43EE-BB9B-7E6C8EAB12EC.png","Thumbnail Image")</f>
      </c>
      <c r="V334" s="0">
        <f>HYPERLINK("https://ec-qa-storage.kldlms.com/ItemGallery/08DCE786-B7CE-42F8-82F0-44F169D16D24/AF88DA57-8241-4381-BBD2-DF3E42769244.png","Gallery Image ")</f>
      </c>
      <c r="W334" s="0" t="s">
        <v>22</v>
      </c>
      <c r="X334" s="0" t="s">
        <v>1253</v>
      </c>
    </row>
    <row r="335">
      <c r="A335" s="0" t="s">
        <v>1035</v>
      </c>
      <c r="B335" s="0" t="s">
        <v>1036</v>
      </c>
      <c r="C335" s="0" t="s">
        <v>1254</v>
      </c>
      <c r="D335" s="0" t="s">
        <v>27</v>
      </c>
      <c r="E335" s="0" t="s">
        <v>685</v>
      </c>
      <c r="F335" s="0" t="s">
        <v>29</v>
      </c>
      <c r="G335" s="0" t="s">
        <v>1255</v>
      </c>
      <c r="H335" s="0" t="s">
        <v>1255</v>
      </c>
      <c r="I335" s="0" t="s">
        <v>1256</v>
      </c>
      <c r="J335" s="0" t="s">
        <v>1257</v>
      </c>
      <c r="K335" s="0" t="s">
        <v>1258</v>
      </c>
      <c r="L335" s="0" t="s">
        <v>32</v>
      </c>
      <c r="M335" s="0" t="s">
        <v>61</v>
      </c>
      <c r="N335" s="0" t="s">
        <v>280</v>
      </c>
      <c r="O335" s="0" t="s">
        <v>110</v>
      </c>
      <c r="P335" s="0" t="s">
        <v>996</v>
      </c>
      <c r="Q335" s="0" t="s">
        <v>1258</v>
      </c>
      <c r="R335" s="0" t="s">
        <v>1254</v>
      </c>
      <c r="S335" s="0" t="s">
        <v>280</v>
      </c>
      <c r="T335" s="0">
        <f>HYPERLINK("https://storage.sslt.ae/ItemVariation/08DCE78C-6F0A-4B45-842B-D24CF69FA8E5/15FB6149-7D31-4411-8904-FFC00AA7B796.png","Variant Image")</f>
      </c>
      <c r="U335" s="0">
        <f>HYPERLINK("https://ec-qa-storage.kldlms.com/Item/08DCE78C-6F0A-4B45-842B-D24CF69FA8E5/1D6F6517-A93D-4B4C-97B4-73FE95F63904.png","Thumbnail Image")</f>
      </c>
      <c r="V335" s="0">
        <f>HYPERLINK("https://ec-qa-storage.kldlms.com/ItemGallery/08DCE78C-6F0A-4B45-842B-D24CF69FA8E5/B0086CE5-2704-4636-A554-F156952DB837.png","Gallery Image ")</f>
      </c>
      <c r="W335" s="0" t="s">
        <v>22</v>
      </c>
      <c r="X335" s="0" t="s">
        <v>1259</v>
      </c>
    </row>
    <row r="336">
      <c r="A336" s="0" t="s">
        <v>1189</v>
      </c>
      <c r="B336" s="0" t="s">
        <v>1189</v>
      </c>
      <c r="C336" s="0" t="s">
        <v>1260</v>
      </c>
      <c r="D336" s="0" t="s">
        <v>27</v>
      </c>
      <c r="E336" s="0" t="s">
        <v>58</v>
      </c>
      <c r="F336" s="0" t="s">
        <v>29</v>
      </c>
      <c r="G336" s="0" t="s">
        <v>1261</v>
      </c>
      <c r="H336" s="0" t="s">
        <v>1261</v>
      </c>
      <c r="I336" s="0" t="s">
        <v>1262</v>
      </c>
      <c r="J336" s="0" t="s">
        <v>1262</v>
      </c>
      <c r="K336" s="0" t="s">
        <v>148</v>
      </c>
      <c r="L336" s="0" t="s">
        <v>32</v>
      </c>
      <c r="M336" s="0" t="s">
        <v>61</v>
      </c>
      <c r="N336" s="0" t="s">
        <v>245</v>
      </c>
      <c r="O336" s="0" t="s">
        <v>110</v>
      </c>
      <c r="P336" s="0" t="s">
        <v>36</v>
      </c>
      <c r="Q336" s="0" t="s">
        <v>148</v>
      </c>
      <c r="R336" s="0" t="s">
        <v>1260</v>
      </c>
      <c r="S336" s="0" t="s">
        <v>245</v>
      </c>
      <c r="T336" s="0">
        <f>HYPERLINK("https://storage.sslt.ae/ItemVariation/08DCE78F-057E-4E50-8682-F1EF01889D56/C39448A1-328B-47F9-83EF-72DA1C28F39B.png","Variant Image")</f>
      </c>
      <c r="U336" s="0">
        <f>HYPERLINK("https://ec-qa-storage.kldlms.com/Item/08DCE78F-057E-4E50-8682-F1EF01889D56/036BD984-866A-4C22-B3FB-4A4753237413.png","Thumbnail Image")</f>
      </c>
      <c r="V336" s="0">
        <f>HYPERLINK("https://ec-qa-storage.kldlms.com/ItemGallery/08DCE78F-057E-4E50-8682-F1EF01889D56/B3A993FB-37B8-4F81-B078-E9A8715419CB.png","Gallery Image ")</f>
      </c>
      <c r="W336" s="0" t="s">
        <v>22</v>
      </c>
      <c r="X336" s="0" t="s">
        <v>1263</v>
      </c>
    </row>
    <row r="337">
      <c r="A337" s="0" t="s">
        <v>1035</v>
      </c>
      <c r="B337" s="0" t="s">
        <v>1036</v>
      </c>
      <c r="C337" s="0" t="s">
        <v>1264</v>
      </c>
      <c r="D337" s="0" t="s">
        <v>27</v>
      </c>
      <c r="E337" s="0" t="s">
        <v>685</v>
      </c>
      <c r="F337" s="0" t="s">
        <v>29</v>
      </c>
      <c r="G337" s="0" t="s">
        <v>1265</v>
      </c>
      <c r="H337" s="0" t="s">
        <v>1265</v>
      </c>
      <c r="I337" s="0" t="s">
        <v>1266</v>
      </c>
      <c r="J337" s="0" t="s">
        <v>1267</v>
      </c>
      <c r="K337" s="0" t="s">
        <v>1268</v>
      </c>
      <c r="L337" s="0" t="s">
        <v>32</v>
      </c>
      <c r="M337" s="0" t="s">
        <v>61</v>
      </c>
      <c r="N337" s="0" t="s">
        <v>142</v>
      </c>
      <c r="O337" s="0" t="s">
        <v>110</v>
      </c>
      <c r="P337" s="0" t="s">
        <v>1016</v>
      </c>
      <c r="Q337" s="0" t="s">
        <v>1269</v>
      </c>
      <c r="R337" s="0" t="s">
        <v>1270</v>
      </c>
      <c r="S337" s="0" t="s">
        <v>280</v>
      </c>
      <c r="T337" s="0">
        <f>HYPERLINK("https://storage.sslt.ae/ItemVariation/08DCE790-6000-42A0-8AF0-2E150F1A1F2A/96AF6B3E-F73F-49F1-A49C-366153B23E42.png","Variant Image")</f>
      </c>
      <c r="U337" s="0">
        <f>HYPERLINK("https://ec-qa-storage.kldlms.com/Item/08DCE790-6000-42A0-8AF0-2E150F1A1F2A/E369A713-B3F7-45E2-881C-D5AEE06EE6FC.png","Thumbnail Image")</f>
      </c>
      <c r="V337" s="0">
        <f>HYPERLINK("https://ec-qa-storage.kldlms.com/ItemGallery/08DCE790-6000-42A0-8AF0-2E150F1A1F2A/41B90594-3694-4C6A-86D2-A3E68613BEB9.png","Gallery Image ")</f>
      </c>
      <c r="W337" s="0" t="s">
        <v>22</v>
      </c>
      <c r="X337" s="0" t="s">
        <v>1271</v>
      </c>
    </row>
    <row r="338">
      <c r="P338" s="0" t="s">
        <v>134</v>
      </c>
      <c r="Q338" s="0" t="s">
        <v>1268</v>
      </c>
      <c r="R338" s="0" t="s">
        <v>1264</v>
      </c>
      <c r="S338" s="0" t="s">
        <v>142</v>
      </c>
      <c r="T338" s="0">
        <f>HYPERLINK("https://storage.sslt.ae/ItemVariation/08DCE790-6000-42A0-8AF0-2E150F1A1F2A/67E0BD34-88C6-4CB6-B676-6D735DB7AE78.jpeg","Variant Image")</f>
      </c>
      <c r="X338" s="0" t="s">
        <v>1272</v>
      </c>
    </row>
    <row r="339">
      <c r="A339" s="0" t="s">
        <v>1189</v>
      </c>
      <c r="B339" s="0" t="s">
        <v>1189</v>
      </c>
      <c r="C339" s="0" t="s">
        <v>1273</v>
      </c>
      <c r="D339" s="0" t="s">
        <v>27</v>
      </c>
      <c r="E339" s="0" t="s">
        <v>58</v>
      </c>
      <c r="F339" s="0" t="s">
        <v>29</v>
      </c>
      <c r="G339" s="0" t="s">
        <v>1274</v>
      </c>
      <c r="H339" s="0" t="s">
        <v>1274</v>
      </c>
      <c r="I339" s="0" t="s">
        <v>1275</v>
      </c>
      <c r="J339" s="0" t="s">
        <v>1276</v>
      </c>
      <c r="K339" s="0" t="s">
        <v>1277</v>
      </c>
      <c r="L339" s="0" t="s">
        <v>32</v>
      </c>
      <c r="M339" s="0" t="s">
        <v>61</v>
      </c>
      <c r="N339" s="0" t="s">
        <v>720</v>
      </c>
      <c r="O339" s="0" t="s">
        <v>110</v>
      </c>
      <c r="P339" s="0" t="s">
        <v>36</v>
      </c>
      <c r="Q339" s="0" t="s">
        <v>1277</v>
      </c>
      <c r="R339" s="0" t="s">
        <v>1273</v>
      </c>
      <c r="S339" s="0" t="s">
        <v>720</v>
      </c>
      <c r="T339" s="0">
        <f>HYPERLINK("https://storage.sslt.ae/ItemVariation/08DCE793-2B77-402E-855D-CA3036840564/F1331032-D3F6-4BA8-B131-B1A701CC06F8.png","Variant Image")</f>
      </c>
      <c r="U339" s="0">
        <f>HYPERLINK("https://ec-qa-storage.kldlms.com/Item/08DCE793-2B77-402E-855D-CA3036840564/2B07AD05-2E64-4D7E-9903-2C820672E443.png","Thumbnail Image")</f>
      </c>
      <c r="V339" s="0">
        <f>HYPERLINK("https://ec-qa-storage.kldlms.com/ItemGallery/08DCE793-2B77-402E-855D-CA3036840564/E2B1C6B3-E7BE-4C24-996E-31D24920627C.png","Gallery Image ")</f>
      </c>
      <c r="W339" s="0" t="s">
        <v>22</v>
      </c>
      <c r="X339" s="0" t="s">
        <v>1278</v>
      </c>
    </row>
    <row r="340">
      <c r="A340" s="0" t="s">
        <v>1189</v>
      </c>
      <c r="B340" s="0" t="s">
        <v>1189</v>
      </c>
      <c r="C340" s="0" t="s">
        <v>1279</v>
      </c>
      <c r="D340" s="0" t="s">
        <v>27</v>
      </c>
      <c r="E340" s="0" t="s">
        <v>58</v>
      </c>
      <c r="F340" s="0" t="s">
        <v>29</v>
      </c>
      <c r="G340" s="0" t="s">
        <v>1280</v>
      </c>
      <c r="H340" s="0" t="s">
        <v>1280</v>
      </c>
      <c r="I340" s="0" t="s">
        <v>1281</v>
      </c>
      <c r="J340" s="0" t="s">
        <v>1281</v>
      </c>
      <c r="K340" s="0" t="s">
        <v>1282</v>
      </c>
      <c r="L340" s="0" t="s">
        <v>32</v>
      </c>
      <c r="M340" s="0" t="s">
        <v>61</v>
      </c>
      <c r="N340" s="0" t="s">
        <v>1283</v>
      </c>
      <c r="O340" s="0" t="s">
        <v>110</v>
      </c>
      <c r="P340" s="0" t="s">
        <v>111</v>
      </c>
      <c r="Q340" s="0" t="s">
        <v>1282</v>
      </c>
      <c r="R340" s="0" t="s">
        <v>1279</v>
      </c>
      <c r="S340" s="0" t="s">
        <v>1283</v>
      </c>
      <c r="T340" s="0">
        <f>HYPERLINK("https://storage.sslt.ae/ItemVariation/08DCE798-6E0B-4C09-8C8C-4BBA9A7A29E8/F39C37A2-5453-4433-96EE-14CCB49A2C51.png","Variant Image")</f>
      </c>
      <c r="U340" s="0">
        <f>HYPERLINK("https://ec-qa-storage.kldlms.com/Item/08DCE798-6E0B-4C09-8C8C-4BBA9A7A29E8/ACE4C63C-F361-45EC-AA97-754D4AB33176.png","Thumbnail Image")</f>
      </c>
      <c r="V340" s="0">
        <f>HYPERLINK("https://ec-qa-storage.kldlms.com/ItemGallery/08DCE798-6E0B-4C09-8C8C-4BBA9A7A29E8/BFAD5A25-A925-4BE5-82A9-3D71164D6917.png","Gallery Image ")</f>
      </c>
      <c r="W340" s="0" t="s">
        <v>22</v>
      </c>
      <c r="X340" s="0" t="s">
        <v>1284</v>
      </c>
    </row>
    <row r="341">
      <c r="A341" s="0" t="s">
        <v>1036</v>
      </c>
      <c r="B341" s="0" t="s">
        <v>1036</v>
      </c>
      <c r="C341" s="0" t="s">
        <v>1285</v>
      </c>
      <c r="D341" s="0" t="s">
        <v>27</v>
      </c>
      <c r="E341" s="0" t="s">
        <v>685</v>
      </c>
      <c r="F341" s="0" t="s">
        <v>29</v>
      </c>
      <c r="G341" s="0" t="s">
        <v>1286</v>
      </c>
      <c r="H341" s="0" t="s">
        <v>1286</v>
      </c>
      <c r="I341" s="0" t="s">
        <v>1287</v>
      </c>
      <c r="J341" s="0" t="s">
        <v>1287</v>
      </c>
      <c r="K341" s="0" t="s">
        <v>1288</v>
      </c>
      <c r="L341" s="0" t="s">
        <v>32</v>
      </c>
      <c r="M341" s="0" t="s">
        <v>61</v>
      </c>
      <c r="N341" s="0" t="s">
        <v>202</v>
      </c>
      <c r="O341" s="0" t="s">
        <v>110</v>
      </c>
      <c r="P341" s="0" t="s">
        <v>111</v>
      </c>
      <c r="Q341" s="0" t="s">
        <v>1288</v>
      </c>
      <c r="R341" s="0" t="s">
        <v>1285</v>
      </c>
      <c r="S341" s="0" t="s">
        <v>202</v>
      </c>
      <c r="T341" s="0">
        <f>HYPERLINK("https://storage.sslt.ae/ItemVariation/08DCE798-73DC-4F0F-80CF-4248F5650C92/F5EE99A7-A34C-4710-85F6-3A493032B613.png","Variant Image")</f>
      </c>
      <c r="U341" s="0">
        <f>HYPERLINK("https://ec-qa-storage.kldlms.com/Item/08DCE798-73DC-4F0F-80CF-4248F5650C92/7E7DCCFF-CCF7-4964-ABE8-543E39B17592.png","Thumbnail Image")</f>
      </c>
      <c r="V341" s="0">
        <f>HYPERLINK("https://ec-qa-storage.kldlms.com/ItemGallery/08DCE798-73DC-4F0F-80CF-4248F5650C92/5DF0884D-E824-40B2-89B7-7EDE7561CB68.png","Gallery Image ")</f>
      </c>
      <c r="W341" s="0" t="s">
        <v>22</v>
      </c>
      <c r="X341" s="0" t="s">
        <v>1289</v>
      </c>
    </row>
    <row r="342">
      <c r="A342" s="0" t="s">
        <v>1189</v>
      </c>
      <c r="B342" s="0" t="s">
        <v>1189</v>
      </c>
      <c r="C342" s="0" t="s">
        <v>1290</v>
      </c>
      <c r="D342" s="0" t="s">
        <v>27</v>
      </c>
      <c r="E342" s="0" t="s">
        <v>58</v>
      </c>
      <c r="F342" s="0" t="s">
        <v>29</v>
      </c>
      <c r="G342" s="0" t="s">
        <v>1291</v>
      </c>
      <c r="H342" s="0" t="s">
        <v>1291</v>
      </c>
      <c r="I342" s="0" t="s">
        <v>1292</v>
      </c>
      <c r="J342" s="0" t="s">
        <v>1292</v>
      </c>
      <c r="K342" s="0" t="s">
        <v>1293</v>
      </c>
      <c r="L342" s="0" t="s">
        <v>32</v>
      </c>
      <c r="M342" s="0" t="s">
        <v>61</v>
      </c>
      <c r="N342" s="0" t="s">
        <v>409</v>
      </c>
      <c r="O342" s="0" t="s">
        <v>110</v>
      </c>
      <c r="P342" s="0" t="s">
        <v>111</v>
      </c>
      <c r="Q342" s="0" t="s">
        <v>1293</v>
      </c>
      <c r="R342" s="0" t="s">
        <v>1290</v>
      </c>
      <c r="S342" s="0" t="s">
        <v>409</v>
      </c>
      <c r="T342" s="0">
        <f>HYPERLINK("","Variant Image")</f>
      </c>
      <c r="U342" s="0">
        <f>HYPERLINK("https://ec-qa-storage.kldlms.com/Item/08DCE79A-965D-4B00-8593-ACDE578EEE47/8E18B930-6040-4FC7-AEA2-AACE227B34EB.png","Thumbnail Image")</f>
      </c>
      <c r="V342" s="0">
        <f>HYPERLINK("https://ec-qa-storage.kldlms.com/ItemGallery/08DCE79A-965D-4B00-8593-ACDE578EEE47/8705BD1E-C495-4F87-A86E-4E0D6CD14765.png","Gallery Image ")</f>
      </c>
      <c r="W342" s="0" t="s">
        <v>22</v>
      </c>
      <c r="X342" s="0" t="s">
        <v>1294</v>
      </c>
    </row>
    <row r="343">
      <c r="A343" s="0" t="s">
        <v>1295</v>
      </c>
      <c r="B343" s="0" t="s">
        <v>1295</v>
      </c>
      <c r="C343" s="0" t="s">
        <v>1296</v>
      </c>
      <c r="D343" s="0" t="s">
        <v>27</v>
      </c>
      <c r="E343" s="0" t="s">
        <v>1297</v>
      </c>
      <c r="F343" s="0" t="s">
        <v>1298</v>
      </c>
      <c r="G343" s="0" t="s">
        <v>1295</v>
      </c>
      <c r="H343" s="0" t="s">
        <v>1295</v>
      </c>
      <c r="I343" s="0" t="s">
        <v>1299</v>
      </c>
      <c r="J343" s="0" t="s">
        <v>1299</v>
      </c>
      <c r="K343" s="0" t="s">
        <v>1300</v>
      </c>
      <c r="L343" s="0" t="s">
        <v>32</v>
      </c>
      <c r="M343" s="0" t="s">
        <v>33</v>
      </c>
      <c r="N343" s="0" t="s">
        <v>32</v>
      </c>
      <c r="O343" s="0" t="s">
        <v>35</v>
      </c>
      <c r="P343" s="0" t="s">
        <v>39</v>
      </c>
      <c r="Q343" s="0" t="s">
        <v>1300</v>
      </c>
      <c r="R343" s="0" t="s">
        <v>1296</v>
      </c>
      <c r="S343" s="0" t="s">
        <v>32</v>
      </c>
      <c r="T343" s="0">
        <f>HYPERLINK("https://storage.sslt.ae/ItemVariation/08DCF9AF-6584-4EAA-8518-5DBE7A4350FB/09C768C5-9037-4424-916D-0EABD199D057.jpg","Variant Image")</f>
      </c>
      <c r="U343" s="0">
        <f>HYPERLINK("https://ec-qa-storage.kldlms.com/Item/08DCF9AF-6584-4EAA-8518-5DBE7A4350FB/C46A2AD1-F3B1-4EB4-B161-CF99CD90E333.jpg","Thumbnail Image")</f>
      </c>
      <c r="V343" s="0">
        <f>HYPERLINK("https://ec-qa-storage.kldlms.com/ItemGallery/08DCF9AF-6584-4EAA-8518-5DBE7A4350FB/1BD5DDE7-92B4-4CF9-8798-6CC35618FD4E.jpg","Gallery Image ")</f>
      </c>
      <c r="W343" s="0" t="s">
        <v>22</v>
      </c>
      <c r="X343" s="0" t="s">
        <v>1301</v>
      </c>
    </row>
    <row r="344">
      <c r="A344" s="0" t="s">
        <v>1302</v>
      </c>
      <c r="B344" s="0" t="s">
        <v>1302</v>
      </c>
      <c r="C344" s="0" t="s">
        <v>1303</v>
      </c>
      <c r="D344" s="0" t="s">
        <v>27</v>
      </c>
      <c r="E344" s="0" t="s">
        <v>1304</v>
      </c>
      <c r="F344" s="0" t="s">
        <v>58</v>
      </c>
      <c r="G344" s="0" t="s">
        <v>1302</v>
      </c>
      <c r="H344" s="0" t="s">
        <v>1302</v>
      </c>
      <c r="I344" s="0" t="s">
        <v>1305</v>
      </c>
      <c r="J344" s="0" t="s">
        <v>1305</v>
      </c>
      <c r="K344" s="0" t="s">
        <v>1306</v>
      </c>
      <c r="L344" s="0" t="s">
        <v>32</v>
      </c>
      <c r="M344" s="0" t="s">
        <v>33</v>
      </c>
      <c r="N344" s="0" t="s">
        <v>32</v>
      </c>
      <c r="O344" s="0" t="s">
        <v>35</v>
      </c>
      <c r="P344" s="0" t="s">
        <v>527</v>
      </c>
      <c r="Q344" s="0" t="s">
        <v>1306</v>
      </c>
      <c r="R344" s="0" t="s">
        <v>1303</v>
      </c>
      <c r="S344" s="0" t="s">
        <v>32</v>
      </c>
      <c r="T344" s="0">
        <f>HYPERLINK("https://storage.sslt.ae/ItemVariation/08DCF9AF-A93B-4229-8971-7873A83BF9DE/9DA3035C-E814-4D46-BB3E-B0BBB868896E.jpg","Variant Image")</f>
      </c>
      <c r="U344" s="0">
        <f>HYPERLINK("https://ec-qa-storage.kldlms.com/Item/08DCF9AF-A93B-4229-8971-7873A83BF9DE/1CDCA4B2-2B64-4660-AA7F-071176518E76.jpg","Thumbnail Image")</f>
      </c>
      <c r="V344" s="0">
        <f>HYPERLINK("https://ec-qa-storage.kldlms.com/ItemGallery/08DCF9AF-A93B-4229-8971-7873A83BF9DE/A6622D13-094F-4E20-8849-E12A92E51619.jpg","Gallery Image ")</f>
      </c>
      <c r="W344" s="0" t="s">
        <v>22</v>
      </c>
      <c r="X344" s="0" t="s">
        <v>1307</v>
      </c>
    </row>
    <row r="345">
      <c r="A345" s="0" t="s">
        <v>1308</v>
      </c>
      <c r="B345" s="0" t="s">
        <v>1308</v>
      </c>
      <c r="C345" s="0" t="s">
        <v>1309</v>
      </c>
      <c r="D345" s="0" t="s">
        <v>27</v>
      </c>
      <c r="E345" s="0" t="s">
        <v>1304</v>
      </c>
      <c r="F345" s="0" t="s">
        <v>58</v>
      </c>
      <c r="G345" s="0" t="s">
        <v>1308</v>
      </c>
      <c r="H345" s="0" t="s">
        <v>1308</v>
      </c>
      <c r="I345" s="0" t="s">
        <v>1310</v>
      </c>
      <c r="J345" s="0" t="s">
        <v>1310</v>
      </c>
      <c r="K345" s="0" t="s">
        <v>1311</v>
      </c>
      <c r="L345" s="0" t="s">
        <v>32</v>
      </c>
      <c r="M345" s="0" t="s">
        <v>33</v>
      </c>
      <c r="N345" s="0" t="s">
        <v>32</v>
      </c>
      <c r="O345" s="0" t="s">
        <v>35</v>
      </c>
      <c r="P345" s="0" t="s">
        <v>1312</v>
      </c>
      <c r="Q345" s="0" t="s">
        <v>1311</v>
      </c>
      <c r="R345" s="0" t="s">
        <v>1309</v>
      </c>
      <c r="S345" s="0" t="s">
        <v>32</v>
      </c>
      <c r="T345" s="0">
        <f>HYPERLINK("https://storage.sslt.ae/ItemVariation/08DCF9AF-A94C-4028-8252-308C55109D5F/32170F09-06DC-4083-B99B-8C06995F6D3B.jpg","Variant Image")</f>
      </c>
      <c r="U345" s="0">
        <f>HYPERLINK("https://ec-qa-storage.kldlms.com/Item/08DCF9AF-A94C-4028-8252-308C55109D5F/651BC4C6-EF20-4313-A26B-A961DABD36CC.jpg","Thumbnail Image")</f>
      </c>
      <c r="V345" s="0">
        <f>HYPERLINK("https://ec-qa-storage.kldlms.com/ItemGallery/08DCF9AF-A94C-4028-8252-308C55109D5F/C233C00D-2BA8-4496-9533-E72F13004AE7.jpg","Gallery Image ")</f>
      </c>
      <c r="W345" s="0" t="s">
        <v>22</v>
      </c>
      <c r="X345" s="0" t="s">
        <v>1313</v>
      </c>
    </row>
    <row r="346">
      <c r="A346" s="0" t="s">
        <v>1302</v>
      </c>
      <c r="B346" s="0" t="s">
        <v>1302</v>
      </c>
      <c r="C346" s="0" t="s">
        <v>1314</v>
      </c>
      <c r="D346" s="0" t="s">
        <v>27</v>
      </c>
      <c r="E346" s="0" t="s">
        <v>1304</v>
      </c>
      <c r="F346" s="0" t="s">
        <v>58</v>
      </c>
      <c r="G346" s="0" t="s">
        <v>1302</v>
      </c>
      <c r="H346" s="0" t="s">
        <v>1302</v>
      </c>
      <c r="I346" s="0" t="s">
        <v>1315</v>
      </c>
      <c r="J346" s="0" t="s">
        <v>1315</v>
      </c>
      <c r="K346" s="0" t="s">
        <v>1316</v>
      </c>
      <c r="L346" s="0" t="s">
        <v>32</v>
      </c>
      <c r="M346" s="0" t="s">
        <v>33</v>
      </c>
      <c r="N346" s="0" t="s">
        <v>32</v>
      </c>
      <c r="O346" s="0" t="s">
        <v>35</v>
      </c>
      <c r="P346" s="0" t="s">
        <v>527</v>
      </c>
      <c r="Q346" s="0" t="s">
        <v>1316</v>
      </c>
      <c r="R346" s="0" t="s">
        <v>1314</v>
      </c>
      <c r="S346" s="0" t="s">
        <v>32</v>
      </c>
      <c r="T346" s="0">
        <f>HYPERLINK("https://storage.sslt.ae/ItemVariation/08DCF9AF-A955-4F55-8DA1-BB36BD3B041A/17EEDBD5-9656-426E-B5C2-1A53A14B1E36.jpg","Variant Image")</f>
      </c>
      <c r="U346" s="0">
        <f>HYPERLINK("https://ec-qa-storage.kldlms.com/Item/08DCF9AF-A955-4F55-8DA1-BB36BD3B041A/29238E37-E668-4F31-9F6D-784936E80F82.jpg","Thumbnail Image")</f>
      </c>
      <c r="V346" s="0">
        <f>HYPERLINK("https://ec-qa-storage.kldlms.com/ItemGallery/08DCF9AF-A955-4F55-8DA1-BB36BD3B041A/0078933B-43D0-4491-BB4F-6FA67BE1970E.jpg","Gallery Image ")</f>
      </c>
      <c r="W346" s="0" t="s">
        <v>22</v>
      </c>
      <c r="X346" s="0" t="s">
        <v>1317</v>
      </c>
    </row>
    <row r="347">
      <c r="A347" s="0" t="s">
        <v>1318</v>
      </c>
      <c r="B347" s="0" t="s">
        <v>1318</v>
      </c>
      <c r="C347" s="0" t="s">
        <v>1319</v>
      </c>
      <c r="D347" s="0" t="s">
        <v>27</v>
      </c>
      <c r="E347" s="0" t="s">
        <v>1320</v>
      </c>
      <c r="F347" s="0" t="s">
        <v>58</v>
      </c>
      <c r="G347" s="0" t="s">
        <v>1318</v>
      </c>
      <c r="H347" s="0" t="s">
        <v>1318</v>
      </c>
      <c r="I347" s="0" t="s">
        <v>1321</v>
      </c>
      <c r="J347" s="0" t="s">
        <v>1321</v>
      </c>
      <c r="K347" s="0" t="s">
        <v>1322</v>
      </c>
      <c r="L347" s="0" t="s">
        <v>32</v>
      </c>
      <c r="M347" s="0" t="s">
        <v>33</v>
      </c>
      <c r="N347" s="0" t="s">
        <v>32</v>
      </c>
      <c r="O347" s="0" t="s">
        <v>35</v>
      </c>
      <c r="P347" s="0" t="s">
        <v>1323</v>
      </c>
      <c r="Q347" s="0" t="s">
        <v>1322</v>
      </c>
      <c r="R347" s="0" t="s">
        <v>1319</v>
      </c>
      <c r="S347" s="0" t="s">
        <v>32</v>
      </c>
      <c r="T347" s="0">
        <f>HYPERLINK("https://storage.sslt.ae/ItemVariation/08DCF9AF-AC7C-4DC5-822B-D2CBFD1125F6/AB0F26A0-2CBF-4625-908F-331479703874.jpg","Variant Image")</f>
      </c>
      <c r="U347" s="0">
        <f>HYPERLINK("https://ec-qa-storage.kldlms.com/Item/08DCF9AF-AC7C-4DC5-822B-D2CBFD1125F6/A9EEA699-2854-4F51-A9A9-B7CD596034DC.jpg","Thumbnail Image")</f>
      </c>
      <c r="V347" s="0">
        <f>HYPERLINK("https://ec-qa-storage.kldlms.com/ItemGallery/08DCF9AF-AC7C-4DC5-822B-D2CBFD1125F6/A34536C2-3B92-40F5-BE89-D9FC507D5945.jpg","Gallery Image ")</f>
      </c>
      <c r="W347" s="0" t="s">
        <v>22</v>
      </c>
      <c r="X347" s="0" t="s">
        <v>1324</v>
      </c>
    </row>
    <row r="348">
      <c r="A348" s="0" t="s">
        <v>1325</v>
      </c>
      <c r="B348" s="0" t="s">
        <v>1325</v>
      </c>
      <c r="C348" s="0" t="s">
        <v>1326</v>
      </c>
      <c r="D348" s="0" t="s">
        <v>27</v>
      </c>
      <c r="E348" s="0" t="s">
        <v>1320</v>
      </c>
      <c r="F348" s="0" t="s">
        <v>58</v>
      </c>
      <c r="G348" s="0" t="s">
        <v>1325</v>
      </c>
      <c r="H348" s="0" t="s">
        <v>1325</v>
      </c>
      <c r="I348" s="0" t="s">
        <v>1327</v>
      </c>
      <c r="J348" s="0" t="s">
        <v>1327</v>
      </c>
      <c r="K348" s="0" t="s">
        <v>1328</v>
      </c>
      <c r="L348" s="0" t="s">
        <v>32</v>
      </c>
      <c r="M348" s="0" t="s">
        <v>33</v>
      </c>
      <c r="N348" s="0" t="s">
        <v>32</v>
      </c>
      <c r="O348" s="0" t="s">
        <v>35</v>
      </c>
      <c r="P348" s="0" t="s">
        <v>527</v>
      </c>
      <c r="Q348" s="0" t="s">
        <v>1328</v>
      </c>
      <c r="R348" s="0" t="s">
        <v>1326</v>
      </c>
      <c r="S348" s="0" t="s">
        <v>32</v>
      </c>
      <c r="T348" s="0">
        <f>HYPERLINK("https://storage.sslt.ae/ItemVariation/08DCF9AF-AC86-480B-8010-A67E2DDBAF5A/49CF57A0-EB13-4801-A8C4-35C491D217CA.jpg","Variant Image")</f>
      </c>
      <c r="U348" s="0">
        <f>HYPERLINK("https://ec-qa-storage.kldlms.com/Item/08DCF9AF-AC86-480B-8010-A67E2DDBAF5A/27699790-8E30-435D-8A7D-F1DA567DCF22.jpg","Thumbnail Image")</f>
      </c>
      <c r="V348" s="0">
        <f>HYPERLINK("https://ec-qa-storage.kldlms.com/ItemGallery/08DCF9AF-AC86-480B-8010-A67E2DDBAF5A/8B5A973C-F050-4E6B-B2F9-A0071D60BAD3.jpg","Gallery Image ")</f>
      </c>
      <c r="W348" s="0" t="s">
        <v>22</v>
      </c>
      <c r="X348" s="0" t="s">
        <v>1329</v>
      </c>
    </row>
    <row r="349">
      <c r="A349" s="0" t="s">
        <v>1330</v>
      </c>
      <c r="B349" s="0" t="s">
        <v>1330</v>
      </c>
      <c r="C349" s="0" t="s">
        <v>1331</v>
      </c>
      <c r="D349" s="0" t="s">
        <v>27</v>
      </c>
      <c r="E349" s="0" t="s">
        <v>1320</v>
      </c>
      <c r="F349" s="0" t="s">
        <v>58</v>
      </c>
      <c r="G349" s="0" t="s">
        <v>1330</v>
      </c>
      <c r="H349" s="0" t="s">
        <v>1330</v>
      </c>
      <c r="I349" s="0" t="s">
        <v>1332</v>
      </c>
      <c r="J349" s="0" t="s">
        <v>1332</v>
      </c>
      <c r="K349" s="0" t="s">
        <v>1333</v>
      </c>
      <c r="L349" s="0" t="s">
        <v>32</v>
      </c>
      <c r="M349" s="0" t="s">
        <v>33</v>
      </c>
      <c r="N349" s="0" t="s">
        <v>32</v>
      </c>
      <c r="O349" s="0" t="s">
        <v>35</v>
      </c>
      <c r="P349" s="0" t="s">
        <v>527</v>
      </c>
      <c r="Q349" s="0" t="s">
        <v>1333</v>
      </c>
      <c r="R349" s="0" t="s">
        <v>1331</v>
      </c>
      <c r="S349" s="0" t="s">
        <v>32</v>
      </c>
      <c r="T349" s="0">
        <f>HYPERLINK("https://storage.sslt.ae/ItemVariation/08DCF9AF-ACA5-44F1-82A3-1918E1953231/7A44F9DC-E893-40F6-9686-D4F26B3F8446.jpg","Variant Image")</f>
      </c>
      <c r="U349" s="0">
        <f>HYPERLINK("https://ec-qa-storage.kldlms.com/Item/08DCF9AF-ACA5-44F1-82A3-1918E1953231/FCE3A4AF-F222-4C24-BBCC-7262677684DB.jpg","Thumbnail Image")</f>
      </c>
      <c r="V349" s="0">
        <f>HYPERLINK("https://ec-qa-storage.kldlms.com/ItemGallery/08DCF9AF-ACA5-44F1-82A3-1918E1953231/A91AF8CA-8838-4551-9526-1263E567E517.jpg","Gallery Image ")</f>
      </c>
      <c r="W349" s="0" t="s">
        <v>22</v>
      </c>
      <c r="X349" s="0" t="s">
        <v>1334</v>
      </c>
    </row>
    <row r="350">
      <c r="A350" s="0" t="s">
        <v>1335</v>
      </c>
      <c r="B350" s="0" t="s">
        <v>1335</v>
      </c>
      <c r="C350" s="0" t="s">
        <v>1336</v>
      </c>
      <c r="D350" s="0" t="s">
        <v>27</v>
      </c>
      <c r="E350" s="0" t="s">
        <v>1320</v>
      </c>
      <c r="F350" s="0" t="s">
        <v>58</v>
      </c>
      <c r="G350" s="0" t="s">
        <v>1335</v>
      </c>
      <c r="H350" s="0" t="s">
        <v>1335</v>
      </c>
      <c r="I350" s="0" t="s">
        <v>1337</v>
      </c>
      <c r="J350" s="0" t="s">
        <v>1337</v>
      </c>
      <c r="K350" s="0" t="s">
        <v>1338</v>
      </c>
      <c r="L350" s="0" t="s">
        <v>32</v>
      </c>
      <c r="M350" s="0" t="s">
        <v>33</v>
      </c>
      <c r="N350" s="0" t="s">
        <v>32</v>
      </c>
      <c r="O350" s="0" t="s">
        <v>35</v>
      </c>
      <c r="P350" s="0" t="s">
        <v>527</v>
      </c>
      <c r="Q350" s="0" t="s">
        <v>1338</v>
      </c>
      <c r="R350" s="0" t="s">
        <v>1336</v>
      </c>
      <c r="S350" s="0" t="s">
        <v>32</v>
      </c>
      <c r="T350" s="0">
        <f>HYPERLINK("https://storage.sslt.ae/ItemVariation/08DCF9AF-ACAF-482F-8553-2C57D2784266/7860757F-9F54-4E6E-8495-BC3B13330CE2.jpg","Variant Image")</f>
      </c>
      <c r="U350" s="0">
        <f>HYPERLINK("https://ec-qa-storage.kldlms.com/Item/08DCF9AF-ACAF-482F-8553-2C57D2784266/84E5E858-2041-4114-B06D-111F112B452D.jpg","Thumbnail Image")</f>
      </c>
      <c r="V350" s="0">
        <f>HYPERLINK("https://ec-qa-storage.kldlms.com/ItemGallery/08DCF9AF-ACAF-482F-8553-2C57D2784266/C01F6DFD-0B5D-45D9-BDDD-C1CBE156CE76.jpg","Gallery Image ")</f>
      </c>
      <c r="W350" s="0" t="s">
        <v>22</v>
      </c>
      <c r="X350" s="0" t="s">
        <v>1339</v>
      </c>
    </row>
    <row r="351">
      <c r="A351" s="0" t="s">
        <v>1340</v>
      </c>
      <c r="B351" s="0" t="s">
        <v>1340</v>
      </c>
      <c r="C351" s="0" t="s">
        <v>1341</v>
      </c>
      <c r="D351" s="0" t="s">
        <v>27</v>
      </c>
      <c r="E351" s="0" t="s">
        <v>1320</v>
      </c>
      <c r="F351" s="0" t="s">
        <v>58</v>
      </c>
      <c r="G351" s="0" t="s">
        <v>1340</v>
      </c>
      <c r="H351" s="0" t="s">
        <v>1340</v>
      </c>
      <c r="I351" s="0" t="s">
        <v>1342</v>
      </c>
      <c r="J351" s="0" t="s">
        <v>1342</v>
      </c>
      <c r="K351" s="0" t="s">
        <v>1343</v>
      </c>
      <c r="L351" s="0" t="s">
        <v>32</v>
      </c>
      <c r="M351" s="0" t="s">
        <v>33</v>
      </c>
      <c r="N351" s="0" t="s">
        <v>32</v>
      </c>
      <c r="O351" s="0" t="s">
        <v>35</v>
      </c>
      <c r="P351" s="0" t="s">
        <v>590</v>
      </c>
      <c r="Q351" s="0" t="s">
        <v>1343</v>
      </c>
      <c r="R351" s="0" t="s">
        <v>1341</v>
      </c>
      <c r="S351" s="0" t="s">
        <v>32</v>
      </c>
      <c r="T351" s="0">
        <f>HYPERLINK("https://storage.sslt.ae/ItemVariation/08DCF9AF-ACB9-4193-85D9-7268B1C990BC/EF8C19C4-6531-4B27-8555-EAA4264820DA.jpg","Variant Image")</f>
      </c>
      <c r="U351" s="0">
        <f>HYPERLINK("https://ec-qa-storage.kldlms.com/Item/08DCF9AF-ACB9-4193-85D9-7268B1C990BC/C1439CCC-5F29-4B25-A4DF-E1E4FAF112CE.jpg","Thumbnail Image")</f>
      </c>
      <c r="V351" s="0">
        <f>HYPERLINK("https://ec-qa-storage.kldlms.com/ItemGallery/08DCF9AF-ACB9-4193-85D9-7268B1C990BC/F4506796-1D2B-4F2C-9E4A-EE9785FC109C.jpg","Gallery Image ")</f>
      </c>
      <c r="W351" s="0" t="s">
        <v>22</v>
      </c>
      <c r="X351" s="0" t="s">
        <v>1344</v>
      </c>
    </row>
    <row r="352">
      <c r="A352" s="0" t="s">
        <v>1345</v>
      </c>
      <c r="B352" s="0" t="s">
        <v>1345</v>
      </c>
      <c r="C352" s="0" t="s">
        <v>1346</v>
      </c>
      <c r="D352" s="0" t="s">
        <v>27</v>
      </c>
      <c r="E352" s="0" t="s">
        <v>1347</v>
      </c>
      <c r="F352" s="0" t="s">
        <v>58</v>
      </c>
      <c r="G352" s="0" t="s">
        <v>1345</v>
      </c>
      <c r="H352" s="0" t="s">
        <v>1345</v>
      </c>
      <c r="I352" s="0" t="s">
        <v>1348</v>
      </c>
      <c r="J352" s="0" t="s">
        <v>1348</v>
      </c>
      <c r="K352" s="0" t="s">
        <v>1349</v>
      </c>
      <c r="L352" s="0" t="s">
        <v>32</v>
      </c>
      <c r="M352" s="0" t="s">
        <v>33</v>
      </c>
      <c r="N352" s="0" t="s">
        <v>32</v>
      </c>
      <c r="O352" s="0" t="s">
        <v>35</v>
      </c>
      <c r="P352" s="0" t="s">
        <v>1323</v>
      </c>
      <c r="Q352" s="0" t="s">
        <v>1349</v>
      </c>
      <c r="R352" s="0" t="s">
        <v>1346</v>
      </c>
      <c r="S352" s="0" t="s">
        <v>32</v>
      </c>
      <c r="T352" s="0">
        <f>HYPERLINK("https://storage.sslt.ae/ItemVariation/08DCF9AF-B86D-43F6-8374-42CA3400D9F2/6A1D5D7F-91FD-423F-973B-971EE78276B3.jpg","Variant Image")</f>
      </c>
      <c r="U352" s="0">
        <f>HYPERLINK("https://ec-qa-storage.kldlms.com/Item/08DCF9AF-B86D-43F6-8374-42CA3400D9F2/32A29D19-0AA5-4CF5-81B5-BCA5E7087027.jpg","Thumbnail Image")</f>
      </c>
      <c r="V352" s="0">
        <f>HYPERLINK("https://ec-qa-storage.kldlms.com/ItemGallery/08DCF9AF-B86D-43F6-8374-42CA3400D9F2/41B24C51-F9BC-4954-8DE4-6275F4EF3442.jpg","Gallery Image ")</f>
      </c>
      <c r="W352" s="0" t="s">
        <v>22</v>
      </c>
      <c r="X352" s="0" t="s">
        <v>1350</v>
      </c>
    </row>
    <row r="353">
      <c r="A353" s="0" t="s">
        <v>1351</v>
      </c>
      <c r="B353" s="0" t="s">
        <v>1351</v>
      </c>
      <c r="C353" s="0" t="s">
        <v>1352</v>
      </c>
      <c r="D353" s="0" t="s">
        <v>27</v>
      </c>
      <c r="E353" s="0" t="s">
        <v>1347</v>
      </c>
      <c r="F353" s="0" t="s">
        <v>58</v>
      </c>
      <c r="G353" s="0" t="s">
        <v>1351</v>
      </c>
      <c r="H353" s="0" t="s">
        <v>1351</v>
      </c>
      <c r="I353" s="0" t="s">
        <v>1353</v>
      </c>
      <c r="J353" s="0" t="s">
        <v>1353</v>
      </c>
      <c r="K353" s="0" t="s">
        <v>1354</v>
      </c>
      <c r="L353" s="0" t="s">
        <v>32</v>
      </c>
      <c r="M353" s="0" t="s">
        <v>33</v>
      </c>
      <c r="N353" s="0" t="s">
        <v>32</v>
      </c>
      <c r="O353" s="0" t="s">
        <v>35</v>
      </c>
      <c r="P353" s="0" t="s">
        <v>527</v>
      </c>
      <c r="Q353" s="0" t="s">
        <v>1354</v>
      </c>
      <c r="R353" s="0" t="s">
        <v>1352</v>
      </c>
      <c r="S353" s="0" t="s">
        <v>32</v>
      </c>
      <c r="T353" s="0">
        <f>HYPERLINK("https://storage.sslt.ae/ItemVariation/08DCF9AF-B877-4C94-8AC0-D850A751E3FF/8350A83A-57ED-4070-8BF8-5FBFD79445B9.jpg","Variant Image")</f>
      </c>
      <c r="U353" s="0">
        <f>HYPERLINK("https://ec-qa-storage.kldlms.com/Item/08DCF9AF-B877-4C94-8AC0-D850A751E3FF/93F2EFE8-EE38-4205-8701-F0B2080E9018.jpg","Thumbnail Image")</f>
      </c>
      <c r="V353" s="0">
        <f>HYPERLINK("https://ec-qa-storage.kldlms.com/ItemGallery/08DCF9AF-B877-4C94-8AC0-D850A751E3FF/8A3DA540-7DFF-41A2-A184-EB3AF1BEB4F1.jpg","Gallery Image ")</f>
      </c>
      <c r="W353" s="0" t="s">
        <v>22</v>
      </c>
      <c r="X353" s="0" t="s">
        <v>1355</v>
      </c>
    </row>
    <row r="354">
      <c r="A354" s="0" t="s">
        <v>1356</v>
      </c>
      <c r="B354" s="0" t="s">
        <v>1356</v>
      </c>
      <c r="C354" s="0" t="s">
        <v>1357</v>
      </c>
      <c r="D354" s="0" t="s">
        <v>27</v>
      </c>
      <c r="E354" s="0" t="s">
        <v>1347</v>
      </c>
      <c r="F354" s="0" t="s">
        <v>58</v>
      </c>
      <c r="G354" s="0" t="s">
        <v>1356</v>
      </c>
      <c r="H354" s="0" t="s">
        <v>1356</v>
      </c>
      <c r="I354" s="0" t="s">
        <v>1358</v>
      </c>
      <c r="J354" s="0" t="s">
        <v>1358</v>
      </c>
      <c r="K354" s="0" t="s">
        <v>1359</v>
      </c>
      <c r="L354" s="0" t="s">
        <v>32</v>
      </c>
      <c r="M354" s="0" t="s">
        <v>33</v>
      </c>
      <c r="N354" s="0" t="s">
        <v>32</v>
      </c>
      <c r="O354" s="0" t="s">
        <v>35</v>
      </c>
      <c r="P354" s="0" t="s">
        <v>527</v>
      </c>
      <c r="Q354" s="0" t="s">
        <v>1359</v>
      </c>
      <c r="R354" s="0" t="s">
        <v>1357</v>
      </c>
      <c r="S354" s="0" t="s">
        <v>32</v>
      </c>
      <c r="T354" s="0">
        <f>HYPERLINK("https://storage.sslt.ae/ItemVariation/08DCF9AF-B882-4C97-866B-6F5F3ED87B18/EC4C3108-A1B3-40F4-BD7F-86675090B19B.jpg","Variant Image")</f>
      </c>
      <c r="U354" s="0">
        <f>HYPERLINK("https://ec-qa-storage.kldlms.com/Item/08DCF9AF-B882-4C97-866B-6F5F3ED87B18/370BF629-A38A-4308-A72E-02B4E15C6A04.jpg","Thumbnail Image")</f>
      </c>
      <c r="V354" s="0">
        <f>HYPERLINK("https://ec-qa-storage.kldlms.com/ItemGallery/08DCF9AF-B882-4C97-866B-6F5F3ED87B18/71F494BD-A352-41B9-8146-BC1D9769168A.jpg","Gallery Image ")</f>
      </c>
      <c r="W354" s="0" t="s">
        <v>22</v>
      </c>
      <c r="X354" s="0" t="s">
        <v>1360</v>
      </c>
    </row>
    <row r="355">
      <c r="A355" s="0" t="s">
        <v>1361</v>
      </c>
      <c r="B355" s="0" t="s">
        <v>1361</v>
      </c>
      <c r="C355" s="0" t="s">
        <v>1362</v>
      </c>
      <c r="D355" s="0" t="s">
        <v>27</v>
      </c>
      <c r="E355" s="0" t="s">
        <v>1347</v>
      </c>
      <c r="F355" s="0" t="s">
        <v>58</v>
      </c>
      <c r="G355" s="0" t="s">
        <v>1361</v>
      </c>
      <c r="H355" s="0" t="s">
        <v>1361</v>
      </c>
      <c r="I355" s="0" t="s">
        <v>1363</v>
      </c>
      <c r="J355" s="0" t="s">
        <v>1363</v>
      </c>
      <c r="K355" s="0" t="s">
        <v>1364</v>
      </c>
      <c r="L355" s="0" t="s">
        <v>32</v>
      </c>
      <c r="M355" s="0" t="s">
        <v>33</v>
      </c>
      <c r="N355" s="0" t="s">
        <v>32</v>
      </c>
      <c r="O355" s="0" t="s">
        <v>35</v>
      </c>
      <c r="P355" s="0" t="s">
        <v>527</v>
      </c>
      <c r="Q355" s="0" t="s">
        <v>1364</v>
      </c>
      <c r="R355" s="0" t="s">
        <v>1362</v>
      </c>
      <c r="S355" s="0" t="s">
        <v>32</v>
      </c>
      <c r="T355" s="0">
        <f>HYPERLINK("https://storage.sslt.ae/ItemVariation/08DCF9AF-B88D-470E-8A31-D31C680B582B/83595352-07CA-4425-AEF8-FE9CE7E3EBA4.jpg","Variant Image")</f>
      </c>
      <c r="U355" s="0">
        <f>HYPERLINK("https://ec-qa-storage.kldlms.com/Item/08DCF9AF-B88D-470E-8A31-D31C680B582B/8AFE1B36-0BCE-4647-892B-8BFA259BA80C.jpg","Thumbnail Image")</f>
      </c>
      <c r="V355" s="0">
        <f>HYPERLINK("https://ec-qa-storage.kldlms.com/ItemGallery/08DCF9AF-B88D-470E-8A31-D31C680B582B/BA9FF5CB-ED9D-4F82-9008-8EE4526BB1AB.jpg","Gallery Image ")</f>
      </c>
      <c r="W355" s="0" t="s">
        <v>22</v>
      </c>
      <c r="X355" s="0" t="s">
        <v>1365</v>
      </c>
    </row>
    <row r="356">
      <c r="A356" s="0" t="s">
        <v>1366</v>
      </c>
      <c r="B356" s="0" t="s">
        <v>1366</v>
      </c>
      <c r="C356" s="0" t="s">
        <v>1367</v>
      </c>
      <c r="D356" s="0" t="s">
        <v>27</v>
      </c>
      <c r="E356" s="0" t="s">
        <v>1347</v>
      </c>
      <c r="F356" s="0" t="s">
        <v>58</v>
      </c>
      <c r="G356" s="0" t="s">
        <v>1366</v>
      </c>
      <c r="H356" s="0" t="s">
        <v>1366</v>
      </c>
      <c r="I356" s="0" t="s">
        <v>1368</v>
      </c>
      <c r="J356" s="0" t="s">
        <v>1368</v>
      </c>
      <c r="K356" s="0" t="s">
        <v>1369</v>
      </c>
      <c r="L356" s="0" t="s">
        <v>32</v>
      </c>
      <c r="M356" s="0" t="s">
        <v>33</v>
      </c>
      <c r="N356" s="0" t="s">
        <v>32</v>
      </c>
      <c r="O356" s="0" t="s">
        <v>35</v>
      </c>
      <c r="P356" s="0" t="s">
        <v>527</v>
      </c>
      <c r="Q356" s="0" t="s">
        <v>1369</v>
      </c>
      <c r="R356" s="0" t="s">
        <v>1367</v>
      </c>
      <c r="S356" s="0" t="s">
        <v>32</v>
      </c>
      <c r="T356" s="0">
        <f>HYPERLINK("https://storage.sslt.ae/ItemVariation/08DCF9AF-B89A-4637-8BB0-DCF5FE9F43CF/D79A1CC3-8BB6-4650-AC0C-3A2BDC6707A2.jpg","Variant Image")</f>
      </c>
      <c r="U356" s="0">
        <f>HYPERLINK("https://ec-qa-storage.kldlms.com/Item/08DCF9AF-B89A-4637-8BB0-DCF5FE9F43CF/AB3DE75F-48CF-4765-9D68-2149B45513CF.jpg","Thumbnail Image")</f>
      </c>
      <c r="V356" s="0">
        <f>HYPERLINK("https://ec-qa-storage.kldlms.com/ItemGallery/08DCF9AF-B89A-4637-8BB0-DCF5FE9F43CF/004676FE-A57C-40A1-9365-FC18D80E46DC.jpg","Gallery Image ")</f>
      </c>
      <c r="W356" s="0" t="s">
        <v>22</v>
      </c>
      <c r="X356" s="0" t="s">
        <v>1370</v>
      </c>
    </row>
    <row r="357">
      <c r="A357" s="0" t="s">
        <v>1371</v>
      </c>
      <c r="B357" s="0" t="s">
        <v>1371</v>
      </c>
      <c r="C357" s="0" t="s">
        <v>1372</v>
      </c>
      <c r="D357" s="0" t="s">
        <v>27</v>
      </c>
      <c r="E357" s="0" t="s">
        <v>1347</v>
      </c>
      <c r="F357" s="0" t="s">
        <v>58</v>
      </c>
      <c r="G357" s="0" t="s">
        <v>1371</v>
      </c>
      <c r="H357" s="0" t="s">
        <v>1371</v>
      </c>
      <c r="I357" s="0" t="s">
        <v>1373</v>
      </c>
      <c r="J357" s="0" t="s">
        <v>1373</v>
      </c>
      <c r="K357" s="0" t="s">
        <v>1374</v>
      </c>
      <c r="L357" s="0" t="s">
        <v>32</v>
      </c>
      <c r="M357" s="0" t="s">
        <v>33</v>
      </c>
      <c r="N357" s="0" t="s">
        <v>32</v>
      </c>
      <c r="O357" s="0" t="s">
        <v>35</v>
      </c>
      <c r="P357" s="0" t="s">
        <v>527</v>
      </c>
      <c r="Q357" s="0" t="s">
        <v>1374</v>
      </c>
      <c r="R357" s="0" t="s">
        <v>1372</v>
      </c>
      <c r="S357" s="0" t="s">
        <v>32</v>
      </c>
      <c r="T357" s="0">
        <f>HYPERLINK("https://storage.sslt.ae/ItemVariation/08DCF9AF-B8B0-4E6C-8907-93E54AC0FDED/EB7CFF83-7536-4180-8B5D-5E74284206D6.jpg","Variant Image")</f>
      </c>
      <c r="U357" s="0">
        <f>HYPERLINK("https://ec-qa-storage.kldlms.com/Item/08DCF9AF-B8B0-4E6C-8907-93E54AC0FDED/4200A9EA-375C-4A2C-BDC8-30D84FD5CA43.jpg","Thumbnail Image")</f>
      </c>
      <c r="V357" s="0">
        <f>HYPERLINK("https://ec-qa-storage.kldlms.com/ItemGallery/08DCF9AF-B8B0-4E6C-8907-93E54AC0FDED/6787DC73-D37E-4A95-94B7-64FA1CDF0D0C.jpg","Gallery Image ")</f>
      </c>
      <c r="W357" s="0" t="s">
        <v>22</v>
      </c>
      <c r="X357" s="0" t="s">
        <v>1375</v>
      </c>
    </row>
    <row r="358">
      <c r="A358" s="0" t="s">
        <v>1376</v>
      </c>
      <c r="B358" s="0" t="s">
        <v>1376</v>
      </c>
      <c r="C358" s="0" t="s">
        <v>1377</v>
      </c>
      <c r="D358" s="0" t="s">
        <v>27</v>
      </c>
      <c r="E358" s="0" t="s">
        <v>1347</v>
      </c>
      <c r="F358" s="0" t="s">
        <v>58</v>
      </c>
      <c r="G358" s="0" t="s">
        <v>1376</v>
      </c>
      <c r="H358" s="0" t="s">
        <v>1376</v>
      </c>
      <c r="I358" s="0" t="s">
        <v>1378</v>
      </c>
      <c r="J358" s="0" t="s">
        <v>1378</v>
      </c>
      <c r="K358" s="0" t="s">
        <v>1379</v>
      </c>
      <c r="L358" s="0" t="s">
        <v>32</v>
      </c>
      <c r="M358" s="0" t="s">
        <v>33</v>
      </c>
      <c r="N358" s="0" t="s">
        <v>32</v>
      </c>
      <c r="O358" s="0" t="s">
        <v>35</v>
      </c>
      <c r="P358" s="0" t="s">
        <v>1380</v>
      </c>
      <c r="Q358" s="0" t="s">
        <v>1379</v>
      </c>
      <c r="R358" s="0" t="s">
        <v>1377</v>
      </c>
      <c r="S358" s="0" t="s">
        <v>32</v>
      </c>
      <c r="T358" s="0">
        <f>HYPERLINK("https://storage.sslt.ae/ItemVariation/08DCF9AF-B8BB-42FA-8A36-A457BF940B83/9D476857-28A1-476D-8B99-772448EA0B91.jpg","Variant Image")</f>
      </c>
      <c r="U358" s="0">
        <f>HYPERLINK("https://ec-qa-storage.kldlms.com/Item/08DCF9AF-B8BB-42FA-8A36-A457BF940B83/A7EBCA0A-55E0-43D3-80D3-7E2C2A8F4581.jpg","Thumbnail Image")</f>
      </c>
      <c r="V358" s="0">
        <f>HYPERLINK("https://ec-qa-storage.kldlms.com/ItemGallery/08DCF9AF-B8BB-42FA-8A36-A457BF940B83/8070BBF5-3684-4D21-86BD-05A801A300DE.jpg","Gallery Image ")</f>
      </c>
      <c r="W358" s="0" t="s">
        <v>22</v>
      </c>
      <c r="X358" s="0" t="s">
        <v>1381</v>
      </c>
    </row>
    <row r="359">
      <c r="A359" s="0" t="s">
        <v>1382</v>
      </c>
      <c r="B359" s="0" t="s">
        <v>1382</v>
      </c>
      <c r="C359" s="0" t="s">
        <v>1383</v>
      </c>
      <c r="D359" s="0" t="s">
        <v>27</v>
      </c>
      <c r="E359" s="0" t="s">
        <v>1347</v>
      </c>
      <c r="F359" s="0" t="s">
        <v>58</v>
      </c>
      <c r="G359" s="0" t="s">
        <v>1382</v>
      </c>
      <c r="H359" s="0" t="s">
        <v>1382</v>
      </c>
      <c r="I359" s="0" t="s">
        <v>1384</v>
      </c>
      <c r="J359" s="0" t="s">
        <v>1384</v>
      </c>
      <c r="K359" s="0" t="s">
        <v>1385</v>
      </c>
      <c r="L359" s="0" t="s">
        <v>32</v>
      </c>
      <c r="M359" s="0" t="s">
        <v>33</v>
      </c>
      <c r="N359" s="0" t="s">
        <v>769</v>
      </c>
      <c r="O359" s="0" t="s">
        <v>35</v>
      </c>
      <c r="P359" s="0" t="s">
        <v>590</v>
      </c>
      <c r="Q359" s="0" t="s">
        <v>1386</v>
      </c>
      <c r="R359" s="0" t="s">
        <v>1383</v>
      </c>
      <c r="S359" s="0" t="s">
        <v>769</v>
      </c>
      <c r="T359" s="0">
        <f>HYPERLINK("https://storage.sslt.ae/ItemVariation/08DCF9AF-B8C5-42B6-8C86-041F05402D73/9F217EB1-E758-4ACE-A58B-061ED96BBD57.jpg","Variant Image")</f>
      </c>
      <c r="U359" s="0">
        <f>HYPERLINK("https://ec-qa-storage.kldlms.com/Item/08DCF9AF-B8C5-42B6-8C86-041F05402D73/B7AC118E-A782-4680-A348-AECBC8F777BF.jpg","Thumbnail Image")</f>
      </c>
      <c r="V359" s="0">
        <f>HYPERLINK("https://ec-qa-storage.kldlms.com/ItemGallery/08DCF9AF-B8C5-42B6-8C86-041F05402D73/78BEDEF1-B4AB-428E-B0DC-B43D1C837A53.jpg","Gallery Image ")</f>
      </c>
      <c r="W359" s="0" t="s">
        <v>22</v>
      </c>
      <c r="X359" s="0" t="s">
        <v>1387</v>
      </c>
    </row>
    <row r="360">
      <c r="A360" s="0" t="s">
        <v>1388</v>
      </c>
      <c r="B360" s="0" t="s">
        <v>1388</v>
      </c>
      <c r="C360" s="0" t="s">
        <v>1389</v>
      </c>
      <c r="D360" s="0" t="s">
        <v>27</v>
      </c>
      <c r="E360" s="0" t="s">
        <v>1347</v>
      </c>
      <c r="F360" s="0" t="s">
        <v>58</v>
      </c>
      <c r="G360" s="0" t="s">
        <v>1388</v>
      </c>
      <c r="H360" s="0" t="s">
        <v>1388</v>
      </c>
      <c r="I360" s="0" t="s">
        <v>1390</v>
      </c>
      <c r="J360" s="0" t="s">
        <v>1390</v>
      </c>
      <c r="K360" s="0" t="s">
        <v>1391</v>
      </c>
      <c r="L360" s="0" t="s">
        <v>32</v>
      </c>
      <c r="M360" s="0" t="s">
        <v>33</v>
      </c>
      <c r="N360" s="0" t="s">
        <v>155</v>
      </c>
      <c r="O360" s="0" t="s">
        <v>35</v>
      </c>
      <c r="P360" s="0" t="s">
        <v>1380</v>
      </c>
      <c r="Q360" s="0" t="s">
        <v>1392</v>
      </c>
      <c r="R360" s="0" t="s">
        <v>1389</v>
      </c>
      <c r="S360" s="0" t="s">
        <v>155</v>
      </c>
      <c r="T360" s="0">
        <f>HYPERLINK("https://storage.sslt.ae/ItemVariation/08DCF9AF-B8CF-4B87-8CF1-A67854B02C41/C64C4C99-0BC3-41C2-A878-6FEAFEBF239C.jpg","Variant Image")</f>
      </c>
      <c r="U360" s="0">
        <f>HYPERLINK("https://ec-qa-storage.kldlms.com/Item/08DCF9AF-B8CF-4B87-8CF1-A67854B02C41/623DA950-E4BF-439A-A202-134CA55B0CEB.jpg","Thumbnail Image")</f>
      </c>
      <c r="V360" s="0">
        <f>HYPERLINK("https://ec-qa-storage.kldlms.com/ItemGallery/08DCF9AF-B8CF-4B87-8CF1-A67854B02C41/97EFE5DC-FF5F-4243-8161-104F2EE5934E.jpg","Gallery Image ")</f>
      </c>
      <c r="W360" s="0" t="s">
        <v>22</v>
      </c>
      <c r="X360" s="0" t="s">
        <v>1393</v>
      </c>
    </row>
    <row r="361">
      <c r="A361" s="0" t="s">
        <v>1388</v>
      </c>
      <c r="B361" s="0" t="s">
        <v>1388</v>
      </c>
      <c r="C361" s="0" t="s">
        <v>1394</v>
      </c>
      <c r="D361" s="0" t="s">
        <v>27</v>
      </c>
      <c r="E361" s="0" t="s">
        <v>1347</v>
      </c>
      <c r="F361" s="0" t="s">
        <v>58</v>
      </c>
      <c r="G361" s="0" t="s">
        <v>1388</v>
      </c>
      <c r="H361" s="0" t="s">
        <v>1388</v>
      </c>
      <c r="I361" s="0" t="s">
        <v>1395</v>
      </c>
      <c r="J361" s="0" t="s">
        <v>1395</v>
      </c>
      <c r="K361" s="0" t="s">
        <v>1396</v>
      </c>
      <c r="L361" s="0" t="s">
        <v>32</v>
      </c>
      <c r="M361" s="0" t="s">
        <v>33</v>
      </c>
      <c r="N361" s="0" t="s">
        <v>720</v>
      </c>
      <c r="O361" s="0" t="s">
        <v>35</v>
      </c>
      <c r="P361" s="0" t="s">
        <v>590</v>
      </c>
      <c r="Q361" s="0" t="s">
        <v>1397</v>
      </c>
      <c r="R361" s="0" t="s">
        <v>1394</v>
      </c>
      <c r="S361" s="0" t="s">
        <v>720</v>
      </c>
      <c r="T361" s="0">
        <f>HYPERLINK("https://storage.sslt.ae/ItemVariation/08DCF9AF-B8D9-4F88-8165-AFA7E226BC4D/438A81B7-3ADF-40DE-AC13-7E730A14D874.jpg","Variant Image")</f>
      </c>
      <c r="U361" s="0">
        <f>HYPERLINK("https://ec-qa-storage.kldlms.com/Item/08DCF9AF-B8D9-4F88-8165-AFA7E226BC4D/F05633B4-EF6A-46C4-A4DD-464152F4FB38.jpg","Thumbnail Image")</f>
      </c>
      <c r="V361" s="0">
        <f>HYPERLINK("https://ec-qa-storage.kldlms.com/ItemGallery/08DCF9AF-B8D9-4F88-8165-AFA7E226BC4D/7E1AF733-C35D-4CFB-A893-1ED4FED1903E.jpg","Gallery Image ")</f>
      </c>
      <c r="W361" s="0" t="s">
        <v>22</v>
      </c>
      <c r="X361" s="0" t="s">
        <v>1398</v>
      </c>
    </row>
    <row r="362">
      <c r="A362" s="0" t="s">
        <v>1388</v>
      </c>
      <c r="B362" s="0" t="s">
        <v>1388</v>
      </c>
      <c r="C362" s="0" t="s">
        <v>1399</v>
      </c>
      <c r="D362" s="0" t="s">
        <v>27</v>
      </c>
      <c r="E362" s="0" t="s">
        <v>1347</v>
      </c>
      <c r="F362" s="0" t="s">
        <v>58</v>
      </c>
      <c r="G362" s="0" t="s">
        <v>1388</v>
      </c>
      <c r="H362" s="0" t="s">
        <v>1388</v>
      </c>
      <c r="I362" s="0" t="s">
        <v>1400</v>
      </c>
      <c r="J362" s="0" t="s">
        <v>1400</v>
      </c>
      <c r="K362" s="0" t="s">
        <v>1401</v>
      </c>
      <c r="L362" s="0" t="s">
        <v>32</v>
      </c>
      <c r="M362" s="0" t="s">
        <v>33</v>
      </c>
      <c r="N362" s="0" t="s">
        <v>1030</v>
      </c>
      <c r="O362" s="0" t="s">
        <v>35</v>
      </c>
      <c r="P362" s="0" t="s">
        <v>527</v>
      </c>
      <c r="Q362" s="0" t="s">
        <v>1402</v>
      </c>
      <c r="R362" s="0" t="s">
        <v>1399</v>
      </c>
      <c r="S362" s="0" t="s">
        <v>1030</v>
      </c>
      <c r="T362" s="0">
        <f>HYPERLINK("https://storage.sslt.ae/ItemVariation/08DCF9AF-B8E4-44E8-8003-C655901AEC5A/37AF0087-A890-4D16-8897-AAC60B3B4BE2.jpg","Variant Image")</f>
      </c>
      <c r="U362" s="0">
        <f>HYPERLINK("https://ec-qa-storage.kldlms.com/Item/08DCF9AF-B8E4-44E8-8003-C655901AEC5A/FED6973F-4D89-4BAD-A60F-CC25C630D994.jpg","Thumbnail Image")</f>
      </c>
      <c r="V362" s="0">
        <f>HYPERLINK("https://ec-qa-storage.kldlms.com/ItemGallery/08DCF9AF-B8E4-44E8-8003-C655901AEC5A/7FB6AA58-5ACE-4FD5-82CD-4FC26A9C012D.jpg","Gallery Image ")</f>
      </c>
      <c r="W362" s="0" t="s">
        <v>22</v>
      </c>
      <c r="X362" s="0" t="s">
        <v>1403</v>
      </c>
    </row>
    <row r="363">
      <c r="A363" s="0" t="s">
        <v>1404</v>
      </c>
      <c r="B363" s="0" t="s">
        <v>1404</v>
      </c>
      <c r="C363" s="0" t="s">
        <v>1405</v>
      </c>
      <c r="D363" s="0" t="s">
        <v>27</v>
      </c>
      <c r="E363" s="0" t="s">
        <v>1347</v>
      </c>
      <c r="F363" s="0" t="s">
        <v>58</v>
      </c>
      <c r="G363" s="0" t="s">
        <v>1404</v>
      </c>
      <c r="H363" s="0" t="s">
        <v>1404</v>
      </c>
      <c r="I363" s="0" t="s">
        <v>1406</v>
      </c>
      <c r="J363" s="0" t="s">
        <v>1406</v>
      </c>
      <c r="K363" s="0" t="s">
        <v>1407</v>
      </c>
      <c r="L363" s="0" t="s">
        <v>32</v>
      </c>
      <c r="M363" s="0" t="s">
        <v>33</v>
      </c>
      <c r="N363" s="0" t="s">
        <v>35</v>
      </c>
      <c r="O363" s="0" t="s">
        <v>35</v>
      </c>
      <c r="P363" s="0" t="s">
        <v>1380</v>
      </c>
      <c r="Q363" s="0" t="s">
        <v>1408</v>
      </c>
      <c r="R363" s="0" t="s">
        <v>1405</v>
      </c>
      <c r="S363" s="0" t="s">
        <v>35</v>
      </c>
      <c r="T363" s="0">
        <f>HYPERLINK("https://storage.sslt.ae/ItemVariation/08DCF9AF-B8F2-438D-8818-91A6FC9E1365/C4D75D31-24BB-4B01-9C2F-5AF4C14C5D26.jpg","Variant Image")</f>
      </c>
      <c r="U363" s="0">
        <f>HYPERLINK("https://ec-qa-storage.kldlms.com/Item/08DCF9AF-B8F2-438D-8818-91A6FC9E1365/A0A99F2B-6035-4030-8DEE-471B15DB684D.jpg","Thumbnail Image")</f>
      </c>
      <c r="V363" s="0">
        <f>HYPERLINK("https://ec-qa-storage.kldlms.com/ItemGallery/08DCF9AF-B8F2-438D-8818-91A6FC9E1365/D9D73781-589C-4D17-9C60-E010538678BE.jpg","Gallery Image ")</f>
      </c>
      <c r="W363" s="0" t="s">
        <v>22</v>
      </c>
      <c r="X363" s="0" t="s">
        <v>1409</v>
      </c>
    </row>
    <row r="364">
      <c r="A364" s="0" t="s">
        <v>1410</v>
      </c>
      <c r="B364" s="0" t="s">
        <v>1410</v>
      </c>
      <c r="C364" s="0" t="s">
        <v>1411</v>
      </c>
      <c r="D364" s="0" t="s">
        <v>27</v>
      </c>
      <c r="E364" s="0" t="s">
        <v>1412</v>
      </c>
      <c r="F364" s="0" t="s">
        <v>58</v>
      </c>
      <c r="G364" s="0" t="s">
        <v>1410</v>
      </c>
      <c r="H364" s="0" t="s">
        <v>1410</v>
      </c>
      <c r="I364" s="0" t="s">
        <v>1413</v>
      </c>
      <c r="J364" s="0" t="s">
        <v>1413</v>
      </c>
      <c r="K364" s="0" t="s">
        <v>1414</v>
      </c>
      <c r="L364" s="0" t="s">
        <v>32</v>
      </c>
      <c r="M364" s="0" t="s">
        <v>33</v>
      </c>
      <c r="N364" s="0" t="s">
        <v>1415</v>
      </c>
      <c r="O364" s="0" t="s">
        <v>35</v>
      </c>
      <c r="P364" s="0" t="s">
        <v>527</v>
      </c>
      <c r="Q364" s="0" t="s">
        <v>1416</v>
      </c>
      <c r="R364" s="0" t="s">
        <v>1411</v>
      </c>
      <c r="S364" s="0" t="s">
        <v>1415</v>
      </c>
      <c r="T364" s="0">
        <f>HYPERLINK("https://storage.sslt.ae/ItemVariation/08DCF9AF-BC0A-4F2F-855C-9639DAF6B9D6/6CF8A847-34EB-4850-BD40-F9412B45148D.jpg","Variant Image")</f>
      </c>
      <c r="U364" s="0">
        <f>HYPERLINK("https://ec-qa-storage.kldlms.com/Item/08DCF9AF-BC0A-4F2F-855C-9639DAF6B9D6/2E207CCC-70DF-425F-B610-E3A8C16EB20D.jpg","Thumbnail Image")</f>
      </c>
      <c r="V364" s="0">
        <f>HYPERLINK("https://ec-qa-storage.kldlms.com/ItemGallery/08DCF9AF-BC0A-4F2F-855C-9639DAF6B9D6/07BD1109-AE45-4B9C-B134-4A56F9714FA6.jpg","Gallery Image ")</f>
      </c>
      <c r="W364" s="0" t="s">
        <v>22</v>
      </c>
      <c r="X364" s="0" t="s">
        <v>1417</v>
      </c>
    </row>
    <row r="365">
      <c r="A365" s="0" t="s">
        <v>1418</v>
      </c>
      <c r="B365" s="0" t="s">
        <v>1418</v>
      </c>
      <c r="C365" s="0" t="s">
        <v>1419</v>
      </c>
      <c r="D365" s="0" t="s">
        <v>27</v>
      </c>
      <c r="E365" s="0" t="s">
        <v>1412</v>
      </c>
      <c r="F365" s="0" t="s">
        <v>58</v>
      </c>
      <c r="G365" s="0" t="s">
        <v>1418</v>
      </c>
      <c r="H365" s="0" t="s">
        <v>1418</v>
      </c>
      <c r="I365" s="0" t="s">
        <v>1420</v>
      </c>
      <c r="J365" s="0" t="s">
        <v>1420</v>
      </c>
      <c r="K365" s="0" t="s">
        <v>843</v>
      </c>
      <c r="L365" s="0" t="s">
        <v>32</v>
      </c>
      <c r="M365" s="0" t="s">
        <v>33</v>
      </c>
      <c r="N365" s="0" t="s">
        <v>1421</v>
      </c>
      <c r="O365" s="0" t="s">
        <v>35</v>
      </c>
      <c r="P365" s="0" t="s">
        <v>527</v>
      </c>
      <c r="Q365" s="0" t="s">
        <v>1422</v>
      </c>
      <c r="R365" s="0" t="s">
        <v>1419</v>
      </c>
      <c r="S365" s="0" t="s">
        <v>1421</v>
      </c>
      <c r="T365" s="0">
        <f>HYPERLINK("https://storage.sslt.ae/ItemVariation/08DCF9AF-BC14-46E7-8611-0037BED659DC/D8251117-2B2D-45D7-ADB4-F764F05F630B.jpg","Variant Image")</f>
      </c>
      <c r="U365" s="0">
        <f>HYPERLINK("https://ec-qa-storage.kldlms.com/Item/08DCF9AF-BC14-46E7-8611-0037BED659DC/C4094FA6-B8BD-4744-ABD1-888636493B16.jpg","Thumbnail Image")</f>
      </c>
      <c r="V365" s="0">
        <f>HYPERLINK("https://ec-qa-storage.kldlms.com/ItemGallery/08DCF9AF-BC14-46E7-8611-0037BED659DC/D7FB92BF-1D73-4046-835D-BF8C2ECC2D90.jpg","Gallery Image ")</f>
      </c>
      <c r="W365" s="0" t="s">
        <v>22</v>
      </c>
      <c r="X365" s="0" t="s">
        <v>1423</v>
      </c>
    </row>
    <row r="366">
      <c r="A366" s="0" t="s">
        <v>1424</v>
      </c>
      <c r="B366" s="0" t="s">
        <v>1424</v>
      </c>
      <c r="C366" s="0" t="s">
        <v>1425</v>
      </c>
      <c r="D366" s="0" t="s">
        <v>27</v>
      </c>
      <c r="E366" s="0" t="s">
        <v>1412</v>
      </c>
      <c r="F366" s="0" t="s">
        <v>58</v>
      </c>
      <c r="G366" s="0" t="s">
        <v>1424</v>
      </c>
      <c r="H366" s="0" t="s">
        <v>1424</v>
      </c>
      <c r="I366" s="0" t="s">
        <v>1426</v>
      </c>
      <c r="J366" s="0" t="s">
        <v>1426</v>
      </c>
      <c r="K366" s="0" t="s">
        <v>131</v>
      </c>
      <c r="L366" s="0" t="s">
        <v>32</v>
      </c>
      <c r="M366" s="0" t="s">
        <v>33</v>
      </c>
      <c r="N366" s="0" t="s">
        <v>209</v>
      </c>
      <c r="O366" s="0" t="s">
        <v>35</v>
      </c>
      <c r="P366" s="0" t="s">
        <v>527</v>
      </c>
      <c r="Q366" s="0" t="s">
        <v>1427</v>
      </c>
      <c r="R366" s="0" t="s">
        <v>1425</v>
      </c>
      <c r="S366" s="0" t="s">
        <v>209</v>
      </c>
      <c r="T366" s="0">
        <f>HYPERLINK("https://storage.sslt.ae/ItemVariation/08DCF9AF-BC1D-45D8-863E-55C05262DC50/3C5A3858-5A4A-41D3-8C7D-075BBF1FAED7.jpg","Variant Image")</f>
      </c>
      <c r="U366" s="0">
        <f>HYPERLINK("https://ec-qa-storage.kldlms.com/Item/08DCF9AF-BC1D-45D8-863E-55C05262DC50/41432EE5-E732-4497-BB91-7398E78E82EE.jpg","Thumbnail Image")</f>
      </c>
      <c r="V366" s="0">
        <f>HYPERLINK("https://ec-qa-storage.kldlms.com/ItemGallery/08DCF9AF-BC1D-45D8-863E-55C05262DC50/63FCE7DB-74DC-4D19-9907-263C933921C6.jpg","Gallery Image ")</f>
      </c>
      <c r="W366" s="0" t="s">
        <v>22</v>
      </c>
      <c r="X366" s="0" t="s">
        <v>1428</v>
      </c>
    </row>
    <row r="367">
      <c r="A367" s="0" t="s">
        <v>1429</v>
      </c>
      <c r="B367" s="0" t="s">
        <v>1429</v>
      </c>
      <c r="C367" s="0" t="s">
        <v>1430</v>
      </c>
      <c r="D367" s="0" t="s">
        <v>27</v>
      </c>
      <c r="E367" s="0" t="s">
        <v>1412</v>
      </c>
      <c r="F367" s="0" t="s">
        <v>58</v>
      </c>
      <c r="G367" s="0" t="s">
        <v>1429</v>
      </c>
      <c r="H367" s="0" t="s">
        <v>1429</v>
      </c>
      <c r="I367" s="0" t="s">
        <v>1431</v>
      </c>
      <c r="J367" s="0" t="s">
        <v>1431</v>
      </c>
      <c r="K367" s="0" t="s">
        <v>1432</v>
      </c>
      <c r="L367" s="0" t="s">
        <v>32</v>
      </c>
      <c r="M367" s="0" t="s">
        <v>33</v>
      </c>
      <c r="N367" s="0" t="s">
        <v>35</v>
      </c>
      <c r="O367" s="0" t="s">
        <v>35</v>
      </c>
      <c r="P367" s="0" t="s">
        <v>1380</v>
      </c>
      <c r="Q367" s="0" t="s">
        <v>1433</v>
      </c>
      <c r="R367" s="0" t="s">
        <v>1430</v>
      </c>
      <c r="S367" s="0" t="s">
        <v>35</v>
      </c>
      <c r="T367" s="0">
        <f>HYPERLINK("https://storage.sslt.ae/ItemVariation/08DCF9AF-BC2B-4E0D-8F40-0C04963B1003/36E4BC1D-F40D-4110-B712-0F3D911A1935.jpg","Variant Image")</f>
      </c>
      <c r="U367" s="0">
        <f>HYPERLINK("https://ec-qa-storage.kldlms.com/Item/08DCF9AF-BC2B-4E0D-8F40-0C04963B1003/A8FE78CE-798D-4980-887A-05CC40E21A05.jpg","Thumbnail Image")</f>
      </c>
      <c r="V367" s="0">
        <f>HYPERLINK("https://ec-qa-storage.kldlms.com/ItemGallery/08DCF9AF-BC2B-4E0D-8F40-0C04963B1003/41260B5E-AF6E-48F4-A03A-379359815A1C.jpg","Gallery Image ")</f>
      </c>
      <c r="W367" s="0" t="s">
        <v>22</v>
      </c>
      <c r="X367" s="0" t="s">
        <v>1434</v>
      </c>
    </row>
    <row r="368">
      <c r="A368" s="0" t="s">
        <v>1435</v>
      </c>
      <c r="B368" s="0" t="s">
        <v>1435</v>
      </c>
      <c r="C368" s="0" t="s">
        <v>1436</v>
      </c>
      <c r="D368" s="0" t="s">
        <v>27</v>
      </c>
      <c r="E368" s="0" t="s">
        <v>1412</v>
      </c>
      <c r="F368" s="0" t="s">
        <v>58</v>
      </c>
      <c r="G368" s="0" t="s">
        <v>1435</v>
      </c>
      <c r="H368" s="0" t="s">
        <v>1435</v>
      </c>
      <c r="I368" s="0" t="s">
        <v>1437</v>
      </c>
      <c r="J368" s="0" t="s">
        <v>1437</v>
      </c>
      <c r="K368" s="0" t="s">
        <v>1432</v>
      </c>
      <c r="L368" s="0" t="s">
        <v>32</v>
      </c>
      <c r="M368" s="0" t="s">
        <v>33</v>
      </c>
      <c r="N368" s="0" t="s">
        <v>349</v>
      </c>
      <c r="O368" s="0" t="s">
        <v>35</v>
      </c>
      <c r="P368" s="0" t="s">
        <v>590</v>
      </c>
      <c r="Q368" s="0" t="s">
        <v>1433</v>
      </c>
      <c r="R368" s="0" t="s">
        <v>1436</v>
      </c>
      <c r="S368" s="0" t="s">
        <v>349</v>
      </c>
      <c r="T368" s="0">
        <f>HYPERLINK("https://storage.sslt.ae/ItemVariation/08DCF9AF-BC35-43C7-81A6-33EB85C2D6C8/5ADC4BB2-8053-4EC2-8428-262082076AE5.jpg","Variant Image")</f>
      </c>
      <c r="U368" s="0">
        <f>HYPERLINK("https://ec-qa-storage.kldlms.com/Item/08DCF9AF-BC35-43C7-81A6-33EB85C2D6C8/4F8DEBDC-7D10-4A38-8444-6BC3E9494A38.jpg","Thumbnail Image")</f>
      </c>
      <c r="V368" s="0">
        <f>HYPERLINK("https://ec-qa-storage.kldlms.com/ItemGallery/08DCF9AF-BC35-43C7-81A6-33EB85C2D6C8/0F50FA7B-6284-4AB1-BDC8-5837DA59BBAE.jpg","Gallery Image ")</f>
      </c>
      <c r="W368" s="0" t="s">
        <v>22</v>
      </c>
      <c r="X368" s="0" t="s">
        <v>1438</v>
      </c>
    </row>
    <row r="369">
      <c r="A369" s="0" t="s">
        <v>1439</v>
      </c>
      <c r="B369" s="0" t="s">
        <v>1439</v>
      </c>
      <c r="C369" s="0" t="s">
        <v>1440</v>
      </c>
      <c r="D369" s="0" t="s">
        <v>27</v>
      </c>
      <c r="E369" s="0" t="s">
        <v>1412</v>
      </c>
      <c r="F369" s="0" t="s">
        <v>58</v>
      </c>
      <c r="G369" s="0" t="s">
        <v>1439</v>
      </c>
      <c r="H369" s="0" t="s">
        <v>1439</v>
      </c>
      <c r="I369" s="0" t="s">
        <v>1441</v>
      </c>
      <c r="J369" s="0" t="s">
        <v>1441</v>
      </c>
      <c r="K369" s="0" t="s">
        <v>1442</v>
      </c>
      <c r="L369" s="0" t="s">
        <v>32</v>
      </c>
      <c r="M369" s="0" t="s">
        <v>33</v>
      </c>
      <c r="N369" s="0" t="s">
        <v>205</v>
      </c>
      <c r="O369" s="0" t="s">
        <v>35</v>
      </c>
      <c r="P369" s="0" t="s">
        <v>527</v>
      </c>
      <c r="Q369" s="0" t="s">
        <v>1443</v>
      </c>
      <c r="R369" s="0" t="s">
        <v>1440</v>
      </c>
      <c r="S369" s="0" t="s">
        <v>205</v>
      </c>
      <c r="T369" s="0">
        <f>HYPERLINK("https://storage.sslt.ae/ItemVariation/08DCF9AF-BC3E-4A63-81DB-D42930EC9DFF/EBC32306-3ED9-4E74-BE14-6F6B33A02D08.jpg","Variant Image")</f>
      </c>
      <c r="U369" s="0">
        <f>HYPERLINK("https://ec-qa-storage.kldlms.com/Item/08DCF9AF-BC3E-4A63-81DB-D42930EC9DFF/467AF7F2-9A58-4992-AED5-2299869B03C0.jpg","Thumbnail Image")</f>
      </c>
      <c r="V369" s="0">
        <f>HYPERLINK("https://ec-qa-storage.kldlms.com/ItemGallery/08DCF9AF-BC3E-4A63-81DB-D42930EC9DFF/197F4A0E-2C00-451C-86CE-658FD1707515.jpg","Gallery Image ")</f>
      </c>
      <c r="W369" s="0" t="s">
        <v>22</v>
      </c>
      <c r="X369" s="0" t="s">
        <v>1444</v>
      </c>
    </row>
    <row r="370">
      <c r="A370" s="0" t="s">
        <v>1445</v>
      </c>
      <c r="B370" s="0" t="s">
        <v>1445</v>
      </c>
      <c r="C370" s="0" t="s">
        <v>1446</v>
      </c>
      <c r="D370" s="0" t="s">
        <v>27</v>
      </c>
      <c r="E370" s="0" t="s">
        <v>1447</v>
      </c>
      <c r="F370" s="0" t="s">
        <v>58</v>
      </c>
      <c r="G370" s="0" t="s">
        <v>1445</v>
      </c>
      <c r="H370" s="0" t="s">
        <v>1445</v>
      </c>
      <c r="I370" s="0" t="s">
        <v>1448</v>
      </c>
      <c r="J370" s="0" t="s">
        <v>1448</v>
      </c>
      <c r="K370" s="0" t="s">
        <v>1449</v>
      </c>
      <c r="L370" s="0" t="s">
        <v>32</v>
      </c>
      <c r="M370" s="0" t="s">
        <v>33</v>
      </c>
      <c r="N370" s="0" t="s">
        <v>32</v>
      </c>
      <c r="O370" s="0" t="s">
        <v>35</v>
      </c>
      <c r="P370" s="0" t="s">
        <v>1323</v>
      </c>
      <c r="Q370" s="0" t="s">
        <v>1450</v>
      </c>
      <c r="R370" s="0" t="s">
        <v>1446</v>
      </c>
      <c r="S370" s="0" t="s">
        <v>92</v>
      </c>
      <c r="T370" s="0">
        <f>HYPERLINK("https://storage.sslt.ae/ItemVariation/08DCF9AF-C14C-40E1-8BF6-386F1205E79B/5824F9D5-0D8C-4CED-B431-6BE32FFBDB4F.jpg","Variant Image")</f>
      </c>
      <c r="U370" s="0">
        <f>HYPERLINK("https://ec-qa-storage.kldlms.com/Item/08DCF9AF-C14C-40E1-8BF6-386F1205E79B/EDB007FF-B89D-4E46-96C6-344D517ADB9A.jpg","Thumbnail Image")</f>
      </c>
      <c r="V370" s="0">
        <f>HYPERLINK("https://ec-qa-storage.kldlms.com/ItemGallery/08DCF9AF-C14C-40E1-8BF6-386F1205E79B/485C8227-D5E8-4086-A05C-9E0D7ABA7D34.jpg","Gallery Image ")</f>
      </c>
      <c r="W370" s="0" t="s">
        <v>22</v>
      </c>
      <c r="X370" s="0" t="s">
        <v>1451</v>
      </c>
    </row>
    <row r="371">
      <c r="A371" s="0" t="s">
        <v>1452</v>
      </c>
      <c r="B371" s="0" t="s">
        <v>1452</v>
      </c>
      <c r="C371" s="0" t="s">
        <v>1453</v>
      </c>
      <c r="D371" s="0" t="s">
        <v>27</v>
      </c>
      <c r="E371" s="0" t="s">
        <v>1447</v>
      </c>
      <c r="F371" s="0" t="s">
        <v>58</v>
      </c>
      <c r="G371" s="0" t="s">
        <v>1452</v>
      </c>
      <c r="H371" s="0" t="s">
        <v>1452</v>
      </c>
      <c r="I371" s="0" t="s">
        <v>1454</v>
      </c>
      <c r="J371" s="0" t="s">
        <v>1454</v>
      </c>
      <c r="K371" s="0" t="s">
        <v>1455</v>
      </c>
      <c r="L371" s="0" t="s">
        <v>32</v>
      </c>
      <c r="M371" s="0" t="s">
        <v>33</v>
      </c>
      <c r="N371" s="0" t="s">
        <v>32</v>
      </c>
      <c r="O371" s="0" t="s">
        <v>35</v>
      </c>
      <c r="P371" s="0" t="s">
        <v>527</v>
      </c>
      <c r="Q371" s="0" t="s">
        <v>1455</v>
      </c>
      <c r="R371" s="0" t="s">
        <v>1453</v>
      </c>
      <c r="S371" s="0" t="s">
        <v>32</v>
      </c>
      <c r="T371" s="0">
        <f>HYPERLINK("https://storage.sslt.ae/ItemVariation/08DCF9AF-C155-4B26-8F61-CB06B740B40B/1CE237A8-44B4-45A7-85ED-EB35AF8DBE00.jpg","Variant Image")</f>
      </c>
      <c r="U371" s="0">
        <f>HYPERLINK("https://ec-qa-storage.kldlms.com/Item/08DCF9AF-C155-4B26-8F61-CB06B740B40B/63941296-CD85-468A-9DBA-EAB160874857.jpg","Thumbnail Image")</f>
      </c>
      <c r="V371" s="0">
        <f>HYPERLINK("https://ec-qa-storage.kldlms.com/ItemGallery/08DCF9AF-C155-4B26-8F61-CB06B740B40B/9376C2D3-B2F2-401A-967E-EBB18ECD66EB.jpg","Gallery Image ")</f>
      </c>
      <c r="W371" s="0" t="s">
        <v>22</v>
      </c>
      <c r="X371" s="0" t="s">
        <v>1456</v>
      </c>
    </row>
    <row r="372">
      <c r="A372" s="0" t="s">
        <v>1457</v>
      </c>
      <c r="B372" s="0" t="s">
        <v>1457</v>
      </c>
      <c r="C372" s="0" t="s">
        <v>1458</v>
      </c>
      <c r="D372" s="0" t="s">
        <v>27</v>
      </c>
      <c r="E372" s="0" t="s">
        <v>1447</v>
      </c>
      <c r="F372" s="0" t="s">
        <v>58</v>
      </c>
      <c r="G372" s="0" t="s">
        <v>1457</v>
      </c>
      <c r="H372" s="0" t="s">
        <v>1457</v>
      </c>
      <c r="I372" s="0" t="s">
        <v>1459</v>
      </c>
      <c r="J372" s="0" t="s">
        <v>1459</v>
      </c>
      <c r="K372" s="0" t="s">
        <v>1460</v>
      </c>
      <c r="L372" s="0" t="s">
        <v>32</v>
      </c>
      <c r="M372" s="0" t="s">
        <v>33</v>
      </c>
      <c r="N372" s="0" t="s">
        <v>32</v>
      </c>
      <c r="O372" s="0" t="s">
        <v>35</v>
      </c>
      <c r="P372" s="0" t="s">
        <v>527</v>
      </c>
      <c r="Q372" s="0" t="s">
        <v>1460</v>
      </c>
      <c r="R372" s="0" t="s">
        <v>1458</v>
      </c>
      <c r="S372" s="0" t="s">
        <v>32</v>
      </c>
      <c r="T372" s="0">
        <f>HYPERLINK("https://storage.sslt.ae/ItemVariation/08DCF9AF-C15F-483E-8A59-291289B2E7A2/067A9A1E-D33E-4866-AF7E-7364B6FCF7EB.jpg","Variant Image")</f>
      </c>
      <c r="U372" s="0">
        <f>HYPERLINK("https://ec-qa-storage.kldlms.com/Item/08DCF9AF-C15F-483E-8A59-291289B2E7A2/B99DF75D-CCF0-415D-9485-4ED8973C7E30.jpg","Thumbnail Image")</f>
      </c>
      <c r="V372" s="0">
        <f>HYPERLINK("https://ec-qa-storage.kldlms.com/ItemGallery/08DCF9AF-C15F-483E-8A59-291289B2E7A2/17D27CB0-EE37-429B-B340-673673FE6BDA.jpg","Gallery Image ")</f>
      </c>
      <c r="W372" s="0" t="s">
        <v>22</v>
      </c>
      <c r="X372" s="0" t="s">
        <v>1461</v>
      </c>
    </row>
    <row r="373">
      <c r="A373" s="0" t="s">
        <v>1462</v>
      </c>
      <c r="B373" s="0" t="s">
        <v>1462</v>
      </c>
      <c r="C373" s="0" t="s">
        <v>1463</v>
      </c>
      <c r="D373" s="0" t="s">
        <v>27</v>
      </c>
      <c r="E373" s="0" t="s">
        <v>1447</v>
      </c>
      <c r="F373" s="0" t="s">
        <v>58</v>
      </c>
      <c r="G373" s="0" t="s">
        <v>1462</v>
      </c>
      <c r="H373" s="0" t="s">
        <v>1462</v>
      </c>
      <c r="I373" s="0" t="s">
        <v>1464</v>
      </c>
      <c r="J373" s="0" t="s">
        <v>1464</v>
      </c>
      <c r="K373" s="0" t="s">
        <v>1465</v>
      </c>
      <c r="L373" s="0" t="s">
        <v>32</v>
      </c>
      <c r="M373" s="0" t="s">
        <v>33</v>
      </c>
      <c r="N373" s="0" t="s">
        <v>32</v>
      </c>
      <c r="O373" s="0" t="s">
        <v>35</v>
      </c>
      <c r="P373" s="0" t="s">
        <v>527</v>
      </c>
      <c r="Q373" s="0" t="s">
        <v>1465</v>
      </c>
      <c r="R373" s="0" t="s">
        <v>1463</v>
      </c>
      <c r="S373" s="0" t="s">
        <v>32</v>
      </c>
      <c r="T373" s="0">
        <f>HYPERLINK("https://storage.sslt.ae/ItemVariation/08DCF9AF-C17E-42B7-8BFC-D68135D0C185/44389F55-2FE7-4F3F-8211-532192376B6B.jpg","Variant Image")</f>
      </c>
      <c r="U373" s="0">
        <f>HYPERLINK("https://ec-qa-storage.kldlms.com/Item/08DCF9AF-C17E-42B7-8BFC-D68135D0C185/2534500E-BAD7-45B2-85FB-B84EC8B325E6.jpg","Thumbnail Image")</f>
      </c>
      <c r="V373" s="0">
        <f>HYPERLINK("https://ec-qa-storage.kldlms.com/ItemGallery/08DCF9AF-C17E-42B7-8BFC-D68135D0C185/1BFCBB7F-752F-43CA-A613-B76497A75000.jpg","Gallery Image ")</f>
      </c>
      <c r="W373" s="0" t="s">
        <v>22</v>
      </c>
      <c r="X373" s="0" t="s">
        <v>1466</v>
      </c>
    </row>
    <row r="374">
      <c r="A374" s="0" t="s">
        <v>1467</v>
      </c>
      <c r="B374" s="0" t="s">
        <v>1467</v>
      </c>
      <c r="C374" s="0" t="s">
        <v>1468</v>
      </c>
      <c r="D374" s="0" t="s">
        <v>27</v>
      </c>
      <c r="E374" s="0" t="s">
        <v>1447</v>
      </c>
      <c r="F374" s="0" t="s">
        <v>58</v>
      </c>
      <c r="G374" s="0" t="s">
        <v>1467</v>
      </c>
      <c r="H374" s="0" t="s">
        <v>1467</v>
      </c>
      <c r="I374" s="0" t="s">
        <v>1469</v>
      </c>
      <c r="J374" s="0" t="s">
        <v>1469</v>
      </c>
      <c r="K374" s="0" t="s">
        <v>1470</v>
      </c>
      <c r="L374" s="0" t="s">
        <v>32</v>
      </c>
      <c r="M374" s="0" t="s">
        <v>33</v>
      </c>
      <c r="N374" s="0" t="s">
        <v>32</v>
      </c>
      <c r="O374" s="0" t="s">
        <v>35</v>
      </c>
      <c r="P374" s="0" t="s">
        <v>527</v>
      </c>
      <c r="Q374" s="0" t="s">
        <v>1470</v>
      </c>
      <c r="R374" s="0" t="s">
        <v>1468</v>
      </c>
      <c r="S374" s="0" t="s">
        <v>32</v>
      </c>
      <c r="T374" s="0">
        <f>HYPERLINK("https://storage.sslt.ae/ItemVariation/08DCF9AF-C188-4190-8BA4-3A959AC718FA/D47A96DC-56B2-4946-940E-5EBAD8548323.jpg","Variant Image")</f>
      </c>
      <c r="U374" s="0">
        <f>HYPERLINK("https://ec-qa-storage.kldlms.com/Item/08DCF9AF-C188-4190-8BA4-3A959AC718FA/46B86746-A620-493A-8080-FA1BC6DBB190.jpg","Thumbnail Image")</f>
      </c>
      <c r="V374" s="0">
        <f>HYPERLINK("https://ec-qa-storage.kldlms.com/ItemGallery/08DCF9AF-C188-4190-8BA4-3A959AC718FA/489A0647-0422-4F1D-BC75-4114FAB71E7A.jpg","Gallery Image ")</f>
      </c>
      <c r="W374" s="0" t="s">
        <v>22</v>
      </c>
      <c r="X374" s="0" t="s">
        <v>1471</v>
      </c>
    </row>
    <row r="375">
      <c r="A375" s="0" t="s">
        <v>1472</v>
      </c>
      <c r="B375" s="0" t="s">
        <v>1472</v>
      </c>
      <c r="C375" s="0" t="s">
        <v>1473</v>
      </c>
      <c r="D375" s="0" t="s">
        <v>27</v>
      </c>
      <c r="E375" s="0" t="s">
        <v>1447</v>
      </c>
      <c r="F375" s="0" t="s">
        <v>58</v>
      </c>
      <c r="G375" s="0" t="s">
        <v>1472</v>
      </c>
      <c r="H375" s="0" t="s">
        <v>1472</v>
      </c>
      <c r="I375" s="0" t="s">
        <v>1474</v>
      </c>
      <c r="J375" s="0" t="s">
        <v>1474</v>
      </c>
      <c r="K375" s="0" t="s">
        <v>1475</v>
      </c>
      <c r="L375" s="0" t="s">
        <v>32</v>
      </c>
      <c r="M375" s="0" t="s">
        <v>33</v>
      </c>
      <c r="N375" s="0" t="s">
        <v>32</v>
      </c>
      <c r="O375" s="0" t="s">
        <v>35</v>
      </c>
      <c r="P375" s="0" t="s">
        <v>527</v>
      </c>
      <c r="Q375" s="0" t="s">
        <v>1475</v>
      </c>
      <c r="R375" s="0" t="s">
        <v>1473</v>
      </c>
      <c r="S375" s="0" t="s">
        <v>32</v>
      </c>
      <c r="T375" s="0">
        <f>HYPERLINK("https://storage.sslt.ae/ItemVariation/08DCF9AF-C192-489E-8E3A-8DBC02B82492/97DB970E-A5DC-47D1-8CE3-D7A68C3BB76D.jpg","Variant Image")</f>
      </c>
      <c r="U375" s="0">
        <f>HYPERLINK("https://ec-qa-storage.kldlms.com/Item/08DCF9AF-C192-489E-8E3A-8DBC02B82492/98A288AB-7B41-4297-8691-D21ECA4AE917.jpg","Thumbnail Image")</f>
      </c>
      <c r="V375" s="0">
        <f>HYPERLINK("https://ec-qa-storage.kldlms.com/ItemGallery/08DCF9AF-C192-489E-8E3A-8DBC02B82492/E05B274D-D9FC-4EFA-8416-66D1E41500A9.jpg","Gallery Image ")</f>
      </c>
      <c r="W375" s="0" t="s">
        <v>22</v>
      </c>
      <c r="X375" s="0" t="s">
        <v>1476</v>
      </c>
    </row>
    <row r="376">
      <c r="A376" s="0" t="s">
        <v>1477</v>
      </c>
      <c r="B376" s="0" t="s">
        <v>1477</v>
      </c>
      <c r="C376" s="0" t="s">
        <v>1478</v>
      </c>
      <c r="D376" s="0" t="s">
        <v>27</v>
      </c>
      <c r="E376" s="0" t="s">
        <v>1447</v>
      </c>
      <c r="F376" s="0" t="s">
        <v>58</v>
      </c>
      <c r="G376" s="0" t="s">
        <v>1477</v>
      </c>
      <c r="H376" s="0" t="s">
        <v>1477</v>
      </c>
      <c r="I376" s="0" t="s">
        <v>1479</v>
      </c>
      <c r="J376" s="0" t="s">
        <v>1479</v>
      </c>
      <c r="K376" s="0" t="s">
        <v>1480</v>
      </c>
      <c r="L376" s="0" t="s">
        <v>32</v>
      </c>
      <c r="M376" s="0" t="s">
        <v>33</v>
      </c>
      <c r="N376" s="0" t="s">
        <v>32</v>
      </c>
      <c r="O376" s="0" t="s">
        <v>35</v>
      </c>
      <c r="P376" s="0" t="s">
        <v>527</v>
      </c>
      <c r="Q376" s="0" t="s">
        <v>1480</v>
      </c>
      <c r="R376" s="0" t="s">
        <v>1478</v>
      </c>
      <c r="S376" s="0" t="s">
        <v>32</v>
      </c>
      <c r="T376" s="0">
        <f>HYPERLINK("https://storage.sslt.ae/ItemVariation/08DCF9AF-C19A-478D-8D3B-ACC0E6084C4E/823BE8C4-1F29-4F07-88AD-849CDFDFDD0F.jpg","Variant Image")</f>
      </c>
      <c r="U376" s="0">
        <f>HYPERLINK("https://ec-qa-storage.kldlms.com/Item/08DCF9AF-C19A-478D-8D3B-ACC0E6084C4E/FE7DEC3F-C8BE-4501-BE17-8979DA22528E.jpg","Thumbnail Image")</f>
      </c>
      <c r="V376" s="0">
        <f>HYPERLINK("https://ec-qa-storage.kldlms.com/ItemGallery/08DCF9AF-C19A-478D-8D3B-ACC0E6084C4E/A44142B2-4D96-4846-A41F-9C44CC9B7817.jpg","Gallery Image ")</f>
      </c>
      <c r="W376" s="0" t="s">
        <v>22</v>
      </c>
      <c r="X376" s="0" t="s">
        <v>1481</v>
      </c>
    </row>
    <row r="377">
      <c r="A377" s="0" t="s">
        <v>1482</v>
      </c>
      <c r="B377" s="0" t="s">
        <v>1482</v>
      </c>
      <c r="C377" s="0" t="s">
        <v>1483</v>
      </c>
      <c r="D377" s="0" t="s">
        <v>27</v>
      </c>
      <c r="E377" s="0" t="s">
        <v>1447</v>
      </c>
      <c r="F377" s="0" t="s">
        <v>58</v>
      </c>
      <c r="G377" s="0" t="s">
        <v>1482</v>
      </c>
      <c r="H377" s="0" t="s">
        <v>1482</v>
      </c>
      <c r="I377" s="0" t="s">
        <v>1484</v>
      </c>
      <c r="J377" s="0" t="s">
        <v>1484</v>
      </c>
      <c r="K377" s="0" t="s">
        <v>1485</v>
      </c>
      <c r="L377" s="0" t="s">
        <v>32</v>
      </c>
      <c r="M377" s="0" t="s">
        <v>33</v>
      </c>
      <c r="N377" s="0" t="s">
        <v>32</v>
      </c>
      <c r="O377" s="0" t="s">
        <v>35</v>
      </c>
      <c r="P377" s="0" t="s">
        <v>527</v>
      </c>
      <c r="Q377" s="0" t="s">
        <v>1485</v>
      </c>
      <c r="R377" s="0" t="s">
        <v>1483</v>
      </c>
      <c r="S377" s="0" t="s">
        <v>32</v>
      </c>
      <c r="T377" s="0">
        <f>HYPERLINK("https://storage.sslt.ae/ItemVariation/08DCF9AF-C1A4-4529-8F12-F527A55604E8/31E57A1C-F3AD-4884-A8D9-62C680A782AC.jpg","Variant Image")</f>
      </c>
      <c r="U377" s="0">
        <f>HYPERLINK("https://ec-qa-storage.kldlms.com/Item/08DCF9AF-C1A4-4529-8F12-F527A55604E8/46E82679-C105-457E-AAD8-854EA157144C.jpg","Thumbnail Image")</f>
      </c>
      <c r="V377" s="0">
        <f>HYPERLINK("https://ec-qa-storage.kldlms.com/ItemGallery/08DCF9AF-C1A4-4529-8F12-F527A55604E8/A508D981-4148-442A-81DD-3E4E47B249F3.jpg","Gallery Image ")</f>
      </c>
      <c r="W377" s="0" t="s">
        <v>22</v>
      </c>
      <c r="X377" s="0" t="s">
        <v>1486</v>
      </c>
    </row>
    <row r="378">
      <c r="A378" s="0" t="s">
        <v>1487</v>
      </c>
      <c r="B378" s="0" t="s">
        <v>1487</v>
      </c>
      <c r="C378" s="0" t="s">
        <v>1488</v>
      </c>
      <c r="D378" s="0" t="s">
        <v>27</v>
      </c>
      <c r="E378" s="0" t="s">
        <v>1447</v>
      </c>
      <c r="F378" s="0" t="s">
        <v>58</v>
      </c>
      <c r="G378" s="0" t="s">
        <v>1487</v>
      </c>
      <c r="H378" s="0" t="s">
        <v>1487</v>
      </c>
      <c r="I378" s="0" t="s">
        <v>1489</v>
      </c>
      <c r="J378" s="0" t="s">
        <v>1489</v>
      </c>
      <c r="K378" s="0" t="s">
        <v>1490</v>
      </c>
      <c r="L378" s="0" t="s">
        <v>32</v>
      </c>
      <c r="M378" s="0" t="s">
        <v>33</v>
      </c>
      <c r="N378" s="0" t="s">
        <v>32</v>
      </c>
      <c r="O378" s="0" t="s">
        <v>35</v>
      </c>
      <c r="P378" s="0" t="s">
        <v>527</v>
      </c>
      <c r="Q378" s="0" t="s">
        <v>1490</v>
      </c>
      <c r="R378" s="0" t="s">
        <v>1488</v>
      </c>
      <c r="S378" s="0" t="s">
        <v>32</v>
      </c>
      <c r="T378" s="0">
        <f>HYPERLINK("https://storage.sslt.ae/ItemVariation/08DCF9AF-C1AD-4F0A-8E6A-75E0DF37B4A8/4B840872-3032-4182-9C5F-4CFFA2FA8425.jpg","Variant Image")</f>
      </c>
      <c r="U378" s="0">
        <f>HYPERLINK("https://ec-qa-storage.kldlms.com/Item/08DCF9AF-C1AD-4F0A-8E6A-75E0DF37B4A8/3117FB7F-F5B2-4BA6-8580-4DDE5FAE6D17.jpg","Thumbnail Image")</f>
      </c>
      <c r="V378" s="0">
        <f>HYPERLINK("https://ec-qa-storage.kldlms.com/ItemGallery/08DCF9AF-C1AD-4F0A-8E6A-75E0DF37B4A8/2B2749FD-D9BF-41A9-8960-74817FDDFF4A.jpg","Gallery Image ")</f>
      </c>
      <c r="W378" s="0" t="s">
        <v>22</v>
      </c>
      <c r="X378" s="0" t="s">
        <v>1491</v>
      </c>
    </row>
    <row r="379">
      <c r="A379" s="0" t="s">
        <v>1492</v>
      </c>
      <c r="B379" s="0" t="s">
        <v>1492</v>
      </c>
      <c r="C379" s="0" t="s">
        <v>1493</v>
      </c>
      <c r="D379" s="0" t="s">
        <v>27</v>
      </c>
      <c r="E379" s="0" t="s">
        <v>1447</v>
      </c>
      <c r="F379" s="0" t="s">
        <v>58</v>
      </c>
      <c r="G379" s="0" t="s">
        <v>1492</v>
      </c>
      <c r="H379" s="0" t="s">
        <v>1492</v>
      </c>
      <c r="I379" s="0" t="s">
        <v>1494</v>
      </c>
      <c r="J379" s="0" t="s">
        <v>1494</v>
      </c>
      <c r="K379" s="0" t="s">
        <v>1495</v>
      </c>
      <c r="L379" s="0" t="s">
        <v>32</v>
      </c>
      <c r="M379" s="0" t="s">
        <v>33</v>
      </c>
      <c r="N379" s="0" t="s">
        <v>32</v>
      </c>
      <c r="O379" s="0" t="s">
        <v>35</v>
      </c>
      <c r="P379" s="0" t="s">
        <v>527</v>
      </c>
      <c r="Q379" s="0" t="s">
        <v>1495</v>
      </c>
      <c r="R379" s="0" t="s">
        <v>1493</v>
      </c>
      <c r="S379" s="0" t="s">
        <v>32</v>
      </c>
      <c r="T379" s="0">
        <f>HYPERLINK("https://storage.sslt.ae/ItemVariation/08DCF9AF-C1B8-4148-82AA-08ABE50C1A5E/C09E8DC1-0D4C-4192-ADF9-5C17194A6DE4.jpg","Variant Image")</f>
      </c>
      <c r="U379" s="0">
        <f>HYPERLINK("https://ec-qa-storage.kldlms.com/Item/08DCF9AF-C1B8-4148-82AA-08ABE50C1A5E/866D282F-E813-402D-A948-3AC8E1F1FB26.jpg","Thumbnail Image")</f>
      </c>
      <c r="V379" s="0">
        <f>HYPERLINK("https://ec-qa-storage.kldlms.com/ItemGallery/08DCF9AF-C1B8-4148-82AA-08ABE50C1A5E/53671734-18E1-43FA-A809-64B2BD4A58A9.jpg","Gallery Image ")</f>
      </c>
      <c r="W379" s="0" t="s">
        <v>22</v>
      </c>
      <c r="X379" s="0" t="s">
        <v>1496</v>
      </c>
    </row>
    <row r="380">
      <c r="A380" s="0" t="s">
        <v>1497</v>
      </c>
      <c r="B380" s="0" t="s">
        <v>1497</v>
      </c>
      <c r="C380" s="0" t="s">
        <v>1498</v>
      </c>
      <c r="D380" s="0" t="s">
        <v>27</v>
      </c>
      <c r="E380" s="0" t="s">
        <v>1447</v>
      </c>
      <c r="F380" s="0" t="s">
        <v>58</v>
      </c>
      <c r="G380" s="0" t="s">
        <v>1497</v>
      </c>
      <c r="H380" s="0" t="s">
        <v>1497</v>
      </c>
      <c r="I380" s="0" t="s">
        <v>1499</v>
      </c>
      <c r="J380" s="0" t="s">
        <v>1499</v>
      </c>
      <c r="K380" s="0" t="s">
        <v>1500</v>
      </c>
      <c r="L380" s="0" t="s">
        <v>32</v>
      </c>
      <c r="M380" s="0" t="s">
        <v>33</v>
      </c>
      <c r="N380" s="0" t="s">
        <v>32</v>
      </c>
      <c r="O380" s="0" t="s">
        <v>35</v>
      </c>
      <c r="P380" s="0" t="s">
        <v>527</v>
      </c>
      <c r="Q380" s="0" t="s">
        <v>1500</v>
      </c>
      <c r="R380" s="0" t="s">
        <v>1498</v>
      </c>
      <c r="S380" s="0" t="s">
        <v>32</v>
      </c>
      <c r="T380" s="0">
        <f>HYPERLINK("https://storage.sslt.ae/ItemVariation/08DCF9AF-C1D5-4D98-80EF-ACCB28F52117/0ED4B050-E822-4B6C-957A-0E414FC7E43B.jpg","Variant Image")</f>
      </c>
      <c r="U380" s="0">
        <f>HYPERLINK("https://ec-qa-storage.kldlms.com/Item/08DCF9AF-C1D5-4D98-80EF-ACCB28F52117/0C01CF1B-8FF8-4BFB-B9AF-DF890EDC250B.jpg","Thumbnail Image")</f>
      </c>
      <c r="V380" s="0">
        <f>HYPERLINK("https://ec-qa-storage.kldlms.com/ItemGallery/08DCF9AF-C1D5-4D98-80EF-ACCB28F52117/2F7BEA4C-65D9-494B-BE39-3E2F6EAC9923.jpg","Gallery Image ")</f>
      </c>
      <c r="W380" s="0" t="s">
        <v>22</v>
      </c>
      <c r="X380" s="0" t="s">
        <v>1501</v>
      </c>
    </row>
    <row r="381">
      <c r="A381" s="0" t="s">
        <v>1502</v>
      </c>
      <c r="B381" s="0" t="s">
        <v>1502</v>
      </c>
      <c r="C381" s="0" t="s">
        <v>1503</v>
      </c>
      <c r="D381" s="0" t="s">
        <v>27</v>
      </c>
      <c r="E381" s="0" t="s">
        <v>1447</v>
      </c>
      <c r="F381" s="0" t="s">
        <v>58</v>
      </c>
      <c r="G381" s="0" t="s">
        <v>1502</v>
      </c>
      <c r="H381" s="0" t="s">
        <v>1502</v>
      </c>
      <c r="I381" s="0" t="s">
        <v>1504</v>
      </c>
      <c r="J381" s="0" t="s">
        <v>1504</v>
      </c>
      <c r="K381" s="0" t="s">
        <v>1505</v>
      </c>
      <c r="L381" s="0" t="s">
        <v>32</v>
      </c>
      <c r="M381" s="0" t="s">
        <v>33</v>
      </c>
      <c r="N381" s="0" t="s">
        <v>32</v>
      </c>
      <c r="O381" s="0" t="s">
        <v>35</v>
      </c>
      <c r="P381" s="0" t="s">
        <v>1323</v>
      </c>
      <c r="Q381" s="0" t="s">
        <v>1505</v>
      </c>
      <c r="R381" s="0" t="s">
        <v>1503</v>
      </c>
      <c r="S381" s="0" t="s">
        <v>32</v>
      </c>
      <c r="T381" s="0">
        <f>HYPERLINK("https://storage.sslt.ae/ItemVariation/08DCF9AF-C1DE-4CC2-893D-E4F9FA152700/B2AB97FE-F29B-4272-959A-2344E77B12FF.jpg","Variant Image")</f>
      </c>
      <c r="U381" s="0">
        <f>HYPERLINK("https://ec-qa-storage.kldlms.com/Item/08DCF9AF-C1DE-4CC2-893D-E4F9FA152700/30994A77-AB76-4F42-B1CC-94FB8C7572C7.jpg","Thumbnail Image")</f>
      </c>
      <c r="V381" s="0">
        <f>HYPERLINK("https://ec-qa-storage.kldlms.com/ItemGallery/08DCF9AF-C1DE-4CC2-893D-E4F9FA152700/933316C0-975B-42CB-A912-DD056A9A78A8.jpg","Gallery Image ")</f>
      </c>
      <c r="W381" s="0" t="s">
        <v>22</v>
      </c>
      <c r="X381" s="0" t="s">
        <v>1506</v>
      </c>
    </row>
    <row r="382">
      <c r="A382" s="0" t="s">
        <v>1502</v>
      </c>
      <c r="B382" s="0" t="s">
        <v>1502</v>
      </c>
      <c r="C382" s="0" t="s">
        <v>1507</v>
      </c>
      <c r="D382" s="0" t="s">
        <v>27</v>
      </c>
      <c r="E382" s="0" t="s">
        <v>1447</v>
      </c>
      <c r="F382" s="0" t="s">
        <v>58</v>
      </c>
      <c r="G382" s="0" t="s">
        <v>1502</v>
      </c>
      <c r="H382" s="0" t="s">
        <v>1502</v>
      </c>
      <c r="I382" s="0" t="s">
        <v>1508</v>
      </c>
      <c r="J382" s="0" t="s">
        <v>1508</v>
      </c>
      <c r="K382" s="0" t="s">
        <v>1509</v>
      </c>
      <c r="L382" s="0" t="s">
        <v>32</v>
      </c>
      <c r="M382" s="0" t="s">
        <v>33</v>
      </c>
      <c r="N382" s="0" t="s">
        <v>32</v>
      </c>
      <c r="O382" s="0" t="s">
        <v>35</v>
      </c>
      <c r="P382" s="0" t="s">
        <v>527</v>
      </c>
      <c r="Q382" s="0" t="s">
        <v>1509</v>
      </c>
      <c r="R382" s="0" t="s">
        <v>1507</v>
      </c>
      <c r="S382" s="0" t="s">
        <v>32</v>
      </c>
      <c r="T382" s="0">
        <f>HYPERLINK("https://storage.sslt.ae/ItemVariation/08DCF9AF-C1E8-4458-8A38-89E4DBC64C1A/0D025AAF-A6BF-48B6-91BC-96F402B95285.jpg","Variant Image")</f>
      </c>
      <c r="U382" s="0">
        <f>HYPERLINK("https://ec-qa-storage.kldlms.com/Item/08DCF9AF-C1E8-4458-8A38-89E4DBC64C1A/6F0D9D10-25F6-47DA-810C-BA988DBE07F5.jpg","Thumbnail Image")</f>
      </c>
      <c r="V382" s="0">
        <f>HYPERLINK("https://ec-qa-storage.kldlms.com/ItemGallery/08DCF9AF-C1E8-4458-8A38-89E4DBC64C1A/703F3733-75AF-417A-B775-0D23EE8FDD8A.jpg","Gallery Image ")</f>
      </c>
      <c r="W382" s="0" t="s">
        <v>22</v>
      </c>
      <c r="X382" s="0" t="s">
        <v>1510</v>
      </c>
    </row>
    <row r="383">
      <c r="A383" s="0" t="s">
        <v>1511</v>
      </c>
      <c r="B383" s="0" t="s">
        <v>1511</v>
      </c>
      <c r="C383" s="0" t="s">
        <v>1512</v>
      </c>
      <c r="D383" s="0" t="s">
        <v>27</v>
      </c>
      <c r="E383" s="0" t="s">
        <v>1447</v>
      </c>
      <c r="F383" s="0" t="s">
        <v>58</v>
      </c>
      <c r="G383" s="0" t="s">
        <v>1511</v>
      </c>
      <c r="H383" s="0" t="s">
        <v>1511</v>
      </c>
      <c r="I383" s="0" t="s">
        <v>1406</v>
      </c>
      <c r="J383" s="0" t="s">
        <v>1406</v>
      </c>
      <c r="K383" s="0" t="s">
        <v>1513</v>
      </c>
      <c r="L383" s="0" t="s">
        <v>32</v>
      </c>
      <c r="M383" s="0" t="s">
        <v>33</v>
      </c>
      <c r="N383" s="0" t="s">
        <v>32</v>
      </c>
      <c r="O383" s="0" t="s">
        <v>35</v>
      </c>
      <c r="P383" s="0" t="s">
        <v>1380</v>
      </c>
      <c r="Q383" s="0" t="s">
        <v>1513</v>
      </c>
      <c r="R383" s="0" t="s">
        <v>1512</v>
      </c>
      <c r="S383" s="0" t="s">
        <v>32</v>
      </c>
      <c r="T383" s="0">
        <f>HYPERLINK("https://storage.sslt.ae/ItemVariation/08DCF9AF-C1F1-4C85-8C2C-DFF5D7930D7B/6F21D4F1-DA4A-49EC-B04E-4B64FA896CFB.jpg","Variant Image")</f>
      </c>
      <c r="U383" s="0">
        <f>HYPERLINK("https://ec-qa-storage.kldlms.com/Item/08DCF9AF-C1F1-4C85-8C2C-DFF5D7930D7B/4FC1B7BF-86A1-477E-8726-3C4122719257.jpg","Thumbnail Image")</f>
      </c>
      <c r="V383" s="0">
        <f>HYPERLINK("https://ec-qa-storage.kldlms.com/ItemGallery/08DCF9AF-C1F1-4C85-8C2C-DFF5D7930D7B/6BDA5485-A097-4B20-8742-34D356F0F166.jpg","Gallery Image ")</f>
      </c>
      <c r="W383" s="0" t="s">
        <v>22</v>
      </c>
      <c r="X383" s="0" t="s">
        <v>1514</v>
      </c>
    </row>
    <row r="384">
      <c r="A384" s="0" t="s">
        <v>1515</v>
      </c>
      <c r="B384" s="0" t="s">
        <v>1515</v>
      </c>
      <c r="C384" s="0" t="s">
        <v>1516</v>
      </c>
      <c r="D384" s="0" t="s">
        <v>27</v>
      </c>
      <c r="E384" s="0" t="s">
        <v>1517</v>
      </c>
      <c r="F384" s="0" t="s">
        <v>58</v>
      </c>
      <c r="G384" s="0" t="s">
        <v>1515</v>
      </c>
      <c r="H384" s="0" t="s">
        <v>1515</v>
      </c>
      <c r="I384" s="0" t="s">
        <v>1518</v>
      </c>
      <c r="J384" s="0" t="s">
        <v>1518</v>
      </c>
      <c r="K384" s="0" t="s">
        <v>1519</v>
      </c>
      <c r="L384" s="0" t="s">
        <v>32</v>
      </c>
      <c r="M384" s="0" t="s">
        <v>33</v>
      </c>
      <c r="N384" s="0" t="s">
        <v>32</v>
      </c>
      <c r="O384" s="0" t="s">
        <v>35</v>
      </c>
      <c r="P384" s="0" t="s">
        <v>527</v>
      </c>
      <c r="Q384" s="0" t="s">
        <v>1519</v>
      </c>
      <c r="R384" s="0" t="s">
        <v>1516</v>
      </c>
      <c r="S384" s="0" t="s">
        <v>32</v>
      </c>
      <c r="T384" s="0">
        <f>HYPERLINK("https://storage.sslt.ae/ItemVariation/08DCF9AF-C4F8-48E0-81C5-537371D607C4/CB6A8E2E-451F-4D3E-B1C5-CBAD116FC53E.jpg","Variant Image")</f>
      </c>
      <c r="U384" s="0">
        <f>HYPERLINK("https://ec-qa-storage.kldlms.com/Item/08DCF9AF-C4F8-48E0-81C5-537371D607C4/BCE04022-19F5-408F-BDB0-08B6788312AE.jpg","Thumbnail Image")</f>
      </c>
      <c r="V384" s="0">
        <f>HYPERLINK("https://ec-qa-storage.kldlms.com/ItemGallery/08DCF9AF-C4F8-48E0-81C5-537371D607C4/2DF2CACF-C06B-4D15-B428-E51BED1B5B44.jpg","Gallery Image ")</f>
      </c>
      <c r="W384" s="0" t="s">
        <v>22</v>
      </c>
      <c r="X384" s="0" t="s">
        <v>1520</v>
      </c>
    </row>
    <row r="385">
      <c r="A385" s="0" t="s">
        <v>1521</v>
      </c>
      <c r="B385" s="0" t="s">
        <v>1521</v>
      </c>
      <c r="C385" s="0" t="s">
        <v>1522</v>
      </c>
      <c r="D385" s="0" t="s">
        <v>27</v>
      </c>
      <c r="E385" s="0" t="s">
        <v>1517</v>
      </c>
      <c r="F385" s="0" t="s">
        <v>58</v>
      </c>
      <c r="G385" s="0" t="s">
        <v>1521</v>
      </c>
      <c r="H385" s="0" t="s">
        <v>1521</v>
      </c>
      <c r="I385" s="0" t="s">
        <v>1523</v>
      </c>
      <c r="J385" s="0" t="s">
        <v>1523</v>
      </c>
      <c r="K385" s="0" t="s">
        <v>1524</v>
      </c>
      <c r="L385" s="0" t="s">
        <v>32</v>
      </c>
      <c r="M385" s="0" t="s">
        <v>33</v>
      </c>
      <c r="N385" s="0" t="s">
        <v>32</v>
      </c>
      <c r="O385" s="0" t="s">
        <v>35</v>
      </c>
      <c r="P385" s="0" t="s">
        <v>527</v>
      </c>
      <c r="Q385" s="0" t="s">
        <v>1524</v>
      </c>
      <c r="R385" s="0" t="s">
        <v>1522</v>
      </c>
      <c r="S385" s="0" t="s">
        <v>32</v>
      </c>
      <c r="T385" s="0">
        <f>HYPERLINK("https://storage.sslt.ae/ItemVariation/08DCF9AF-C502-4A49-8CB1-15215DDF7400/6B028BF6-0E86-4DE6-B139-0D47D6232E15.jpg","Variant Image")</f>
      </c>
      <c r="U385" s="0">
        <f>HYPERLINK("https://ec-qa-storage.kldlms.com/Item/08DCF9AF-C502-4A49-8CB1-15215DDF7400/5F7CB596-9868-4D9A-BC1B-0E16993301B3.jpg","Thumbnail Image")</f>
      </c>
      <c r="V385" s="0">
        <f>HYPERLINK("https://ec-qa-storage.kldlms.com/ItemGallery/08DCF9AF-C502-4A49-8CB1-15215DDF7400/FF32684C-BF3E-4A16-831C-B057A66BD7BA.jpg","Gallery Image ")</f>
      </c>
      <c r="W385" s="0" t="s">
        <v>22</v>
      </c>
      <c r="X385" s="0" t="s">
        <v>1525</v>
      </c>
    </row>
    <row r="386">
      <c r="A386" s="0" t="s">
        <v>1526</v>
      </c>
      <c r="B386" s="0" t="s">
        <v>1526</v>
      </c>
      <c r="C386" s="0" t="s">
        <v>1527</v>
      </c>
      <c r="D386" s="0" t="s">
        <v>27</v>
      </c>
      <c r="E386" s="0" t="s">
        <v>1517</v>
      </c>
      <c r="F386" s="0" t="s">
        <v>58</v>
      </c>
      <c r="G386" s="0" t="s">
        <v>1526</v>
      </c>
      <c r="H386" s="0" t="s">
        <v>1526</v>
      </c>
      <c r="I386" s="0" t="s">
        <v>1528</v>
      </c>
      <c r="J386" s="0" t="s">
        <v>1528</v>
      </c>
      <c r="K386" s="0" t="s">
        <v>1529</v>
      </c>
      <c r="L386" s="0" t="s">
        <v>32</v>
      </c>
      <c r="M386" s="0" t="s">
        <v>33</v>
      </c>
      <c r="N386" s="0" t="s">
        <v>32</v>
      </c>
      <c r="O386" s="0" t="s">
        <v>35</v>
      </c>
      <c r="P386" s="0" t="s">
        <v>1323</v>
      </c>
      <c r="Q386" s="0" t="s">
        <v>1529</v>
      </c>
      <c r="R386" s="0" t="s">
        <v>1527</v>
      </c>
      <c r="S386" s="0" t="s">
        <v>32</v>
      </c>
      <c r="T386" s="0">
        <f>HYPERLINK("https://storage.sslt.ae/ItemVariation/08DCF9AF-C521-47AF-81BD-76635F85CC37/F24E9AC6-2326-4BEA-BDF9-C66C2D255332.jpg","Variant Image")</f>
      </c>
      <c r="U386" s="0">
        <f>HYPERLINK("https://ec-qa-storage.kldlms.com/Item/08DCF9AF-C521-47AF-81BD-76635F85CC37/A7CF51A5-EB86-4A8E-AB51-7BC98C85979D.jpg","Thumbnail Image")</f>
      </c>
      <c r="V386" s="0">
        <f>HYPERLINK("https://ec-qa-storage.kldlms.com/ItemGallery/08DCF9AF-C521-47AF-81BD-76635F85CC37/5C47C2CA-8C2E-4EAD-8DB3-CBEBE11D66DC.jpg","Gallery Image ")</f>
      </c>
      <c r="W386" s="0" t="s">
        <v>22</v>
      </c>
      <c r="X386" s="0" t="s">
        <v>1530</v>
      </c>
    </row>
    <row r="387">
      <c r="A387" s="0" t="s">
        <v>1526</v>
      </c>
      <c r="B387" s="0" t="s">
        <v>1526</v>
      </c>
      <c r="C387" s="0" t="s">
        <v>1531</v>
      </c>
      <c r="D387" s="0" t="s">
        <v>27</v>
      </c>
      <c r="E387" s="0" t="s">
        <v>1517</v>
      </c>
      <c r="F387" s="0" t="s">
        <v>58</v>
      </c>
      <c r="G387" s="0" t="s">
        <v>1526</v>
      </c>
      <c r="H387" s="0" t="s">
        <v>1526</v>
      </c>
      <c r="I387" s="0" t="s">
        <v>1532</v>
      </c>
      <c r="J387" s="0" t="s">
        <v>1532</v>
      </c>
      <c r="K387" s="0" t="s">
        <v>1533</v>
      </c>
      <c r="L387" s="0" t="s">
        <v>32</v>
      </c>
      <c r="M387" s="0" t="s">
        <v>33</v>
      </c>
      <c r="N387" s="0" t="s">
        <v>32</v>
      </c>
      <c r="O387" s="0" t="s">
        <v>35</v>
      </c>
      <c r="P387" s="0" t="s">
        <v>527</v>
      </c>
      <c r="Q387" s="0" t="s">
        <v>1533</v>
      </c>
      <c r="R387" s="0" t="s">
        <v>1531</v>
      </c>
      <c r="S387" s="0" t="s">
        <v>32</v>
      </c>
      <c r="T387" s="0">
        <f>HYPERLINK("https://storage.sslt.ae/ItemVariation/08DCF9AF-C52B-47AE-8E87-AF63777B11B3/5C441208-6A49-4902-8018-07E905B54255.jpg","Variant Image")</f>
      </c>
      <c r="U387" s="0">
        <f>HYPERLINK("https://ec-qa-storage.kldlms.com/Item/08DCF9AF-C52B-47AE-8E87-AF63777B11B3/0B938D88-40DE-447C-9656-A6CA618F45AF.jpg","Thumbnail Image")</f>
      </c>
      <c r="V387" s="0">
        <f>HYPERLINK("https://ec-qa-storage.kldlms.com/ItemGallery/08DCF9AF-C52B-47AE-8E87-AF63777B11B3/159A80B7-1950-4D10-B1D0-315FCC7E6126.jpg","Gallery Image ")</f>
      </c>
      <c r="W387" s="0" t="s">
        <v>22</v>
      </c>
      <c r="X387" s="0" t="s">
        <v>1534</v>
      </c>
    </row>
    <row r="388">
      <c r="A388" s="0" t="s">
        <v>1535</v>
      </c>
      <c r="B388" s="0" t="s">
        <v>1535</v>
      </c>
      <c r="C388" s="0" t="s">
        <v>1536</v>
      </c>
      <c r="D388" s="0" t="s">
        <v>27</v>
      </c>
      <c r="E388" s="0" t="s">
        <v>1517</v>
      </c>
      <c r="F388" s="0" t="s">
        <v>58</v>
      </c>
      <c r="G388" s="0" t="s">
        <v>1535</v>
      </c>
      <c r="H388" s="0" t="s">
        <v>1535</v>
      </c>
      <c r="I388" s="0" t="s">
        <v>1537</v>
      </c>
      <c r="J388" s="0" t="s">
        <v>1537</v>
      </c>
      <c r="K388" s="0" t="s">
        <v>1538</v>
      </c>
      <c r="L388" s="0" t="s">
        <v>32</v>
      </c>
      <c r="M388" s="0" t="s">
        <v>33</v>
      </c>
      <c r="N388" s="0" t="s">
        <v>32</v>
      </c>
      <c r="O388" s="0" t="s">
        <v>35</v>
      </c>
      <c r="P388" s="0" t="s">
        <v>1380</v>
      </c>
      <c r="Q388" s="0" t="s">
        <v>1538</v>
      </c>
      <c r="R388" s="0" t="s">
        <v>1536</v>
      </c>
      <c r="S388" s="0" t="s">
        <v>32</v>
      </c>
      <c r="T388" s="0">
        <f>HYPERLINK("https://storage.sslt.ae/ItemVariation/08DCF9AF-C535-4156-89FA-A9E6A7A0FCDD/68D93236-EDFC-4A53-BFC5-ACBC450131B5.jpg","Variant Image")</f>
      </c>
      <c r="U388" s="0">
        <f>HYPERLINK("https://ec-qa-storage.kldlms.com/Item/08DCF9AF-C535-4156-89FA-A9E6A7A0FCDD/5A036BDF-464A-4580-8C36-9B89F4E466F5.jpg","Thumbnail Image")</f>
      </c>
      <c r="V388" s="0">
        <f>HYPERLINK("https://ec-qa-storage.kldlms.com/ItemGallery/08DCF9AF-C535-4156-89FA-A9E6A7A0FCDD/85F43CAA-8A11-40AA-902C-3EA4B4956EFB.jpg","Gallery Image ")</f>
      </c>
      <c r="W388" s="0" t="s">
        <v>22</v>
      </c>
      <c r="X388" s="0" t="s">
        <v>1539</v>
      </c>
    </row>
    <row r="389">
      <c r="A389" s="0" t="s">
        <v>1535</v>
      </c>
      <c r="B389" s="0" t="s">
        <v>1535</v>
      </c>
      <c r="C389" s="0" t="s">
        <v>1540</v>
      </c>
      <c r="D389" s="0" t="s">
        <v>27</v>
      </c>
      <c r="E389" s="0" t="s">
        <v>1517</v>
      </c>
      <c r="F389" s="0" t="s">
        <v>58</v>
      </c>
      <c r="G389" s="0" t="s">
        <v>1535</v>
      </c>
      <c r="H389" s="0" t="s">
        <v>1535</v>
      </c>
      <c r="I389" s="0" t="s">
        <v>1541</v>
      </c>
      <c r="J389" s="0" t="s">
        <v>1541</v>
      </c>
      <c r="K389" s="0" t="s">
        <v>1542</v>
      </c>
      <c r="L389" s="0" t="s">
        <v>32</v>
      </c>
      <c r="M389" s="0" t="s">
        <v>33</v>
      </c>
      <c r="N389" s="0" t="s">
        <v>32</v>
      </c>
      <c r="O389" s="0" t="s">
        <v>35</v>
      </c>
      <c r="P389" s="0" t="s">
        <v>590</v>
      </c>
      <c r="Q389" s="0" t="s">
        <v>1542</v>
      </c>
      <c r="R389" s="0" t="s">
        <v>1540</v>
      </c>
      <c r="S389" s="0" t="s">
        <v>32</v>
      </c>
      <c r="T389" s="0">
        <f>HYPERLINK("https://storage.sslt.ae/ItemVariation/08DCF9AF-C53F-490B-8E2D-381D8ED40849/1C066109-49F5-4E54-A3BB-81B7B862A323.jpg","Variant Image")</f>
      </c>
      <c r="U389" s="0">
        <f>HYPERLINK("https://ec-qa-storage.kldlms.com/Item/08DCF9AF-C53F-490B-8E2D-381D8ED40849/0B4198E7-BEA1-4470-B0CE-28CE6547CD18.jpg","Thumbnail Image")</f>
      </c>
      <c r="V389" s="0">
        <f>HYPERLINK("https://ec-qa-storage.kldlms.com/ItemGallery/08DCF9AF-C53F-490B-8E2D-381D8ED40849/5FA83798-FC1D-4C2C-954A-12605EF5B249.jpg","Gallery Image ")</f>
      </c>
      <c r="W389" s="0" t="s">
        <v>22</v>
      </c>
      <c r="X389" s="0" t="s">
        <v>1543</v>
      </c>
    </row>
    <row r="390">
      <c r="A390" s="0" t="s">
        <v>1544</v>
      </c>
      <c r="B390" s="0" t="s">
        <v>1544</v>
      </c>
      <c r="C390" s="0" t="s">
        <v>1545</v>
      </c>
      <c r="D390" s="0" t="s">
        <v>27</v>
      </c>
      <c r="E390" s="0" t="s">
        <v>1546</v>
      </c>
      <c r="F390" s="0" t="s">
        <v>58</v>
      </c>
      <c r="G390" s="0" t="s">
        <v>1544</v>
      </c>
      <c r="H390" s="0" t="s">
        <v>1544</v>
      </c>
      <c r="I390" s="0" t="s">
        <v>1547</v>
      </c>
      <c r="J390" s="0" t="s">
        <v>1547</v>
      </c>
      <c r="K390" s="0" t="s">
        <v>1548</v>
      </c>
      <c r="L390" s="0" t="s">
        <v>32</v>
      </c>
      <c r="M390" s="0" t="s">
        <v>33</v>
      </c>
      <c r="N390" s="0" t="s">
        <v>32</v>
      </c>
      <c r="O390" s="0" t="s">
        <v>35</v>
      </c>
      <c r="P390" s="0" t="s">
        <v>527</v>
      </c>
      <c r="Q390" s="0" t="s">
        <v>1548</v>
      </c>
      <c r="R390" s="0" t="s">
        <v>1545</v>
      </c>
      <c r="S390" s="0" t="s">
        <v>32</v>
      </c>
      <c r="T390" s="0">
        <f>HYPERLINK("https://storage.sslt.ae/ItemVariation/08DCF9AF-C83D-43BF-85C9-3A2F68EC6ED5/6855B2B5-B670-4E50-924F-808F65D7200F.jpg","Variant Image")</f>
      </c>
      <c r="U390" s="0">
        <f>HYPERLINK("https://ec-qa-storage.kldlms.com/Item/08DCF9AF-C83D-43BF-85C9-3A2F68EC6ED5/466E662A-9495-4955-B57E-528E231757A7.jpg","Thumbnail Image")</f>
      </c>
      <c r="V390" s="0">
        <f>HYPERLINK("https://ec-qa-storage.kldlms.com/ItemGallery/08DCF9AF-C83D-43BF-85C9-3A2F68EC6ED5/122C6F17-A4B4-46B6-A756-24032A8B6C08.jpg","Gallery Image ")</f>
      </c>
      <c r="W390" s="0" t="s">
        <v>22</v>
      </c>
      <c r="X390" s="0" t="s">
        <v>1549</v>
      </c>
    </row>
    <row r="391">
      <c r="A391" s="0" t="s">
        <v>1550</v>
      </c>
      <c r="B391" s="0" t="s">
        <v>1550</v>
      </c>
      <c r="C391" s="0" t="s">
        <v>1551</v>
      </c>
      <c r="D391" s="0" t="s">
        <v>27</v>
      </c>
      <c r="E391" s="0" t="s">
        <v>1546</v>
      </c>
      <c r="F391" s="0" t="s">
        <v>58</v>
      </c>
      <c r="G391" s="0" t="s">
        <v>1550</v>
      </c>
      <c r="H391" s="0" t="s">
        <v>1550</v>
      </c>
      <c r="I391" s="0" t="s">
        <v>1552</v>
      </c>
      <c r="J391" s="0" t="s">
        <v>1552</v>
      </c>
      <c r="K391" s="0" t="s">
        <v>1553</v>
      </c>
      <c r="L391" s="0" t="s">
        <v>32</v>
      </c>
      <c r="M391" s="0" t="s">
        <v>33</v>
      </c>
      <c r="N391" s="0" t="s">
        <v>32</v>
      </c>
      <c r="O391" s="0" t="s">
        <v>35</v>
      </c>
      <c r="P391" s="0" t="s">
        <v>527</v>
      </c>
      <c r="Q391" s="0" t="s">
        <v>1553</v>
      </c>
      <c r="R391" s="0" t="s">
        <v>1551</v>
      </c>
      <c r="S391" s="0" t="s">
        <v>32</v>
      </c>
      <c r="T391" s="0">
        <f>HYPERLINK("https://storage.sslt.ae/ItemVariation/08DCF9AF-C846-4341-87E5-DCC4706BB329/EB9D5D8E-C596-4ED9-BA3B-8332F3F580B1.jpg","Variant Image")</f>
      </c>
      <c r="U391" s="0">
        <f>HYPERLINK("https://ec-qa-storage.kldlms.com/Item/08DCF9AF-C846-4341-87E5-DCC4706BB329/6215E163-8C43-4821-A9CE-ED6013558D1C.jpg","Thumbnail Image")</f>
      </c>
      <c r="V391" s="0">
        <f>HYPERLINK("https://ec-qa-storage.kldlms.com/ItemGallery/08DCF9AF-C846-4341-87E5-DCC4706BB329/05BAA704-4DFC-4C0E-815E-A59FC4C85D64.jpg","Gallery Image ")</f>
      </c>
      <c r="W391" s="0" t="s">
        <v>22</v>
      </c>
      <c r="X391" s="0" t="s">
        <v>1554</v>
      </c>
    </row>
    <row r="392">
      <c r="A392" s="0" t="s">
        <v>1550</v>
      </c>
      <c r="B392" s="0" t="s">
        <v>1550</v>
      </c>
      <c r="C392" s="0" t="s">
        <v>1555</v>
      </c>
      <c r="D392" s="0" t="s">
        <v>27</v>
      </c>
      <c r="E392" s="0" t="s">
        <v>1546</v>
      </c>
      <c r="F392" s="0" t="s">
        <v>58</v>
      </c>
      <c r="G392" s="0" t="s">
        <v>1550</v>
      </c>
      <c r="H392" s="0" t="s">
        <v>1550</v>
      </c>
      <c r="I392" s="0" t="s">
        <v>1556</v>
      </c>
      <c r="J392" s="0" t="s">
        <v>1556</v>
      </c>
      <c r="K392" s="0" t="s">
        <v>1557</v>
      </c>
      <c r="L392" s="0" t="s">
        <v>32</v>
      </c>
      <c r="M392" s="0" t="s">
        <v>33</v>
      </c>
      <c r="N392" s="0" t="s">
        <v>32</v>
      </c>
      <c r="O392" s="0" t="s">
        <v>35</v>
      </c>
      <c r="P392" s="0" t="s">
        <v>590</v>
      </c>
      <c r="Q392" s="0" t="s">
        <v>1557</v>
      </c>
      <c r="R392" s="0" t="s">
        <v>1555</v>
      </c>
      <c r="S392" s="0" t="s">
        <v>32</v>
      </c>
      <c r="T392" s="0">
        <f>HYPERLINK("https://storage.sslt.ae/ItemVariation/08DCF9AF-C84E-4B9A-86C9-FDCCC327BC04/EE653188-3FB2-4B28-8952-F0DBBDC2EEE3.jpg","Variant Image")</f>
      </c>
      <c r="U392" s="0">
        <f>HYPERLINK("https://ec-qa-storage.kldlms.com/Item/08DCF9AF-C84E-4B9A-86C9-FDCCC327BC04/8E1A9C6B-4C82-4867-83B5-310650047DB5.jpg","Thumbnail Image")</f>
      </c>
      <c r="V392" s="0">
        <f>HYPERLINK("https://ec-qa-storage.kldlms.com/ItemGallery/08DCF9AF-C84E-4B9A-86C9-FDCCC327BC04/E3FAD4E3-A02C-4774-9330-1EF1E18A64B5.jpg","Gallery Image ")</f>
      </c>
      <c r="W392" s="0" t="s">
        <v>22</v>
      </c>
      <c r="X392" s="0" t="s">
        <v>1558</v>
      </c>
    </row>
    <row r="393">
      <c r="A393" s="0" t="s">
        <v>1550</v>
      </c>
      <c r="B393" s="0" t="s">
        <v>1550</v>
      </c>
      <c r="C393" s="0" t="s">
        <v>1559</v>
      </c>
      <c r="D393" s="0" t="s">
        <v>27</v>
      </c>
      <c r="E393" s="0" t="s">
        <v>1546</v>
      </c>
      <c r="F393" s="0" t="s">
        <v>58</v>
      </c>
      <c r="G393" s="0" t="s">
        <v>1550</v>
      </c>
      <c r="H393" s="0" t="s">
        <v>1550</v>
      </c>
      <c r="I393" s="0" t="s">
        <v>1560</v>
      </c>
      <c r="J393" s="0" t="s">
        <v>1560</v>
      </c>
      <c r="K393" s="0" t="s">
        <v>1561</v>
      </c>
      <c r="L393" s="0" t="s">
        <v>32</v>
      </c>
      <c r="M393" s="0" t="s">
        <v>33</v>
      </c>
      <c r="N393" s="0" t="s">
        <v>32</v>
      </c>
      <c r="O393" s="0" t="s">
        <v>35</v>
      </c>
      <c r="P393" s="0" t="s">
        <v>1380</v>
      </c>
      <c r="Q393" s="0" t="s">
        <v>1561</v>
      </c>
      <c r="R393" s="0" t="s">
        <v>1559</v>
      </c>
      <c r="S393" s="0" t="s">
        <v>32</v>
      </c>
      <c r="T393" s="0">
        <f>HYPERLINK("https://storage.sslt.ae/ItemVariation/08DCF9AF-C857-4A75-8169-10551CB1669F/DE8587AE-2F7E-41F3-92F7-2A3603BC58F4.jpg","Variant Image")</f>
      </c>
      <c r="U393" s="0">
        <f>HYPERLINK("https://ec-qa-storage.kldlms.com/Item/08DCF9AF-C857-4A75-8169-10551CB1669F/60E45566-CCED-493F-B643-5626F5A2C26D.jpg","Thumbnail Image")</f>
      </c>
      <c r="V393" s="0">
        <f>HYPERLINK("https://ec-qa-storage.kldlms.com/ItemGallery/08DCF9AF-C857-4A75-8169-10551CB1669F/CC19C35D-75F5-4C9B-AE91-66153B19B19D.jpg","Gallery Image ")</f>
      </c>
      <c r="W393" s="0" t="s">
        <v>22</v>
      </c>
      <c r="X393" s="0" t="s">
        <v>1562</v>
      </c>
    </row>
    <row r="394">
      <c r="A394" s="0" t="s">
        <v>1563</v>
      </c>
      <c r="B394" s="0" t="s">
        <v>1563</v>
      </c>
      <c r="C394" s="0" t="s">
        <v>1564</v>
      </c>
      <c r="D394" s="0" t="s">
        <v>27</v>
      </c>
      <c r="E394" s="0" t="s">
        <v>1546</v>
      </c>
      <c r="F394" s="0" t="s">
        <v>58</v>
      </c>
      <c r="G394" s="0" t="s">
        <v>1563</v>
      </c>
      <c r="H394" s="0" t="s">
        <v>1563</v>
      </c>
      <c r="I394" s="0" t="s">
        <v>1565</v>
      </c>
      <c r="J394" s="0" t="s">
        <v>1565</v>
      </c>
      <c r="K394" s="0" t="s">
        <v>1566</v>
      </c>
      <c r="L394" s="0" t="s">
        <v>32</v>
      </c>
      <c r="M394" s="0" t="s">
        <v>33</v>
      </c>
      <c r="N394" s="0" t="s">
        <v>32</v>
      </c>
      <c r="O394" s="0" t="s">
        <v>35</v>
      </c>
      <c r="P394" s="0" t="s">
        <v>527</v>
      </c>
      <c r="Q394" s="0" t="s">
        <v>1566</v>
      </c>
      <c r="R394" s="0" t="s">
        <v>1564</v>
      </c>
      <c r="S394" s="0" t="s">
        <v>32</v>
      </c>
      <c r="T394" s="0">
        <f>HYPERLINK("https://storage.sslt.ae/ItemVariation/08DCF9AF-C861-4051-89A1-C2B0A7F5AC45/9969DFBD-08C6-445E-A49D-A1D527A6FC4D.jpg","Variant Image")</f>
      </c>
      <c r="U394" s="0">
        <f>HYPERLINK("https://ec-qa-storage.kldlms.com/Item/08DCF9AF-C861-4051-89A1-C2B0A7F5AC45/E84D9310-4304-4D8D-A372-87EB8D6752E8.jpg","Thumbnail Image")</f>
      </c>
      <c r="V394" s="0">
        <f>HYPERLINK("https://ec-qa-storage.kldlms.com/ItemGallery/08DCF9AF-C861-4051-89A1-C2B0A7F5AC45/25015814-8EB5-4A75-B0BC-A92287DD6AF3.jpg","Gallery Image ")</f>
      </c>
      <c r="W394" s="0" t="s">
        <v>22</v>
      </c>
      <c r="X394" s="0" t="s">
        <v>1567</v>
      </c>
    </row>
    <row r="395">
      <c r="A395" s="0" t="s">
        <v>1563</v>
      </c>
      <c r="B395" s="0" t="s">
        <v>1563</v>
      </c>
      <c r="C395" s="0" t="s">
        <v>1568</v>
      </c>
      <c r="D395" s="0" t="s">
        <v>27</v>
      </c>
      <c r="E395" s="0" t="s">
        <v>1546</v>
      </c>
      <c r="F395" s="0" t="s">
        <v>58</v>
      </c>
      <c r="G395" s="0" t="s">
        <v>1563</v>
      </c>
      <c r="H395" s="0" t="s">
        <v>1563</v>
      </c>
      <c r="I395" s="0" t="s">
        <v>1569</v>
      </c>
      <c r="J395" s="0" t="s">
        <v>1569</v>
      </c>
      <c r="K395" s="0" t="s">
        <v>1570</v>
      </c>
      <c r="L395" s="0" t="s">
        <v>32</v>
      </c>
      <c r="M395" s="0" t="s">
        <v>33</v>
      </c>
      <c r="N395" s="0" t="s">
        <v>32</v>
      </c>
      <c r="O395" s="0" t="s">
        <v>35</v>
      </c>
      <c r="P395" s="0" t="s">
        <v>590</v>
      </c>
      <c r="Q395" s="0" t="s">
        <v>1570</v>
      </c>
      <c r="R395" s="0" t="s">
        <v>1568</v>
      </c>
      <c r="S395" s="0" t="s">
        <v>32</v>
      </c>
      <c r="T395" s="0">
        <f>HYPERLINK("https://storage.sslt.ae/ItemVariation/08DCF9AF-C86A-48EE-855A-63EC33155841/8F2EC903-E3CB-43E6-81DF-E75C8B21A21B.jpg","Variant Image")</f>
      </c>
      <c r="U395" s="0">
        <f>HYPERLINK("https://ec-qa-storage.kldlms.com/Item/08DCF9AF-C86A-48EE-855A-63EC33155841/302BD6B4-999E-43FA-9169-B58EAECCD004.jpg","Thumbnail Image")</f>
      </c>
      <c r="V395" s="0">
        <f>HYPERLINK("https://ec-qa-storage.kldlms.com/ItemGallery/08DCF9AF-C86A-48EE-855A-63EC33155841/DED444FB-2907-4FB0-A797-6C2EDAC7D65F.jpg","Gallery Image ")</f>
      </c>
      <c r="W395" s="0" t="s">
        <v>22</v>
      </c>
      <c r="X395" s="0" t="s">
        <v>1571</v>
      </c>
    </row>
    <row r="396">
      <c r="A396" s="0" t="s">
        <v>1572</v>
      </c>
      <c r="B396" s="0" t="s">
        <v>1572</v>
      </c>
      <c r="C396" s="0" t="s">
        <v>1573</v>
      </c>
      <c r="D396" s="0" t="s">
        <v>27</v>
      </c>
      <c r="E396" s="0" t="s">
        <v>1546</v>
      </c>
      <c r="F396" s="0" t="s">
        <v>58</v>
      </c>
      <c r="G396" s="0" t="s">
        <v>1572</v>
      </c>
      <c r="H396" s="0" t="s">
        <v>1572</v>
      </c>
      <c r="I396" s="0" t="s">
        <v>1574</v>
      </c>
      <c r="J396" s="0" t="s">
        <v>1574</v>
      </c>
      <c r="K396" s="0" t="s">
        <v>1575</v>
      </c>
      <c r="L396" s="0" t="s">
        <v>32</v>
      </c>
      <c r="M396" s="0" t="s">
        <v>33</v>
      </c>
      <c r="N396" s="0" t="s">
        <v>32</v>
      </c>
      <c r="O396" s="0" t="s">
        <v>35</v>
      </c>
      <c r="P396" s="0" t="s">
        <v>527</v>
      </c>
      <c r="Q396" s="0" t="s">
        <v>1575</v>
      </c>
      <c r="R396" s="0" t="s">
        <v>1573</v>
      </c>
      <c r="S396" s="0" t="s">
        <v>32</v>
      </c>
      <c r="T396" s="0">
        <f>HYPERLINK("https://storage.sslt.ae/ItemVariation/08DCF9AF-C873-46F6-883E-E4A74C69A4CA/479DFAC8-54B2-4E2B-BD11-B5F70AD425A0.jpg","Variant Image")</f>
      </c>
      <c r="U396" s="0">
        <f>HYPERLINK("https://ec-qa-storage.kldlms.com/Item/08DCF9AF-C873-46F6-883E-E4A74C69A4CA/0A6A3E26-9BF1-4569-816E-2FBD1F372724.jpg","Thumbnail Image")</f>
      </c>
      <c r="V396" s="0">
        <f>HYPERLINK("https://ec-qa-storage.kldlms.com/ItemGallery/08DCF9AF-C873-46F6-883E-E4A74C69A4CA/69DEF5E6-AF6E-4611-B2EA-053FD121CE0D.jpg","Gallery Image ")</f>
      </c>
      <c r="W396" s="0" t="s">
        <v>22</v>
      </c>
      <c r="X396" s="0" t="s">
        <v>1576</v>
      </c>
    </row>
    <row r="397">
      <c r="A397" s="0" t="s">
        <v>1577</v>
      </c>
      <c r="B397" s="0" t="s">
        <v>1577</v>
      </c>
      <c r="C397" s="0" t="s">
        <v>1578</v>
      </c>
      <c r="D397" s="0" t="s">
        <v>27</v>
      </c>
      <c r="E397" s="0" t="s">
        <v>1546</v>
      </c>
      <c r="F397" s="0" t="s">
        <v>58</v>
      </c>
      <c r="G397" s="0" t="s">
        <v>1577</v>
      </c>
      <c r="H397" s="0" t="s">
        <v>1577</v>
      </c>
      <c r="I397" s="0" t="s">
        <v>1579</v>
      </c>
      <c r="J397" s="0" t="s">
        <v>1579</v>
      </c>
      <c r="K397" s="0" t="s">
        <v>1580</v>
      </c>
      <c r="L397" s="0" t="s">
        <v>32</v>
      </c>
      <c r="M397" s="0" t="s">
        <v>33</v>
      </c>
      <c r="N397" s="0" t="s">
        <v>32</v>
      </c>
      <c r="O397" s="0" t="s">
        <v>35</v>
      </c>
      <c r="P397" s="0" t="s">
        <v>527</v>
      </c>
      <c r="Q397" s="0" t="s">
        <v>1580</v>
      </c>
      <c r="R397" s="0" t="s">
        <v>1578</v>
      </c>
      <c r="S397" s="0" t="s">
        <v>32</v>
      </c>
      <c r="T397" s="0">
        <f>HYPERLINK("https://storage.sslt.ae/ItemVariation/08DCF9AF-C87C-4B29-8B45-A16311672141/92898138-4E26-476E-83C7-36C141F9FA6C.jpg","Variant Image")</f>
      </c>
      <c r="U397" s="0">
        <f>HYPERLINK("https://ec-qa-storage.kldlms.com/Item/08DCF9AF-C87C-4B29-8B45-A16311672141/D9CF2F87-86E6-4378-8F18-49BE11D49BEB.jpg","Thumbnail Image")</f>
      </c>
      <c r="V397" s="0">
        <f>HYPERLINK("https://ec-qa-storage.kldlms.com/ItemGallery/08DCF9AF-C87C-4B29-8B45-A16311672141/1F822151-1C5A-41E8-9894-F054C2517E7E.jpg","Gallery Image ")</f>
      </c>
      <c r="W397" s="0" t="s">
        <v>22</v>
      </c>
      <c r="X397" s="0" t="s">
        <v>1581</v>
      </c>
    </row>
    <row r="398">
      <c r="A398" s="0" t="s">
        <v>1582</v>
      </c>
      <c r="B398" s="0" t="s">
        <v>1582</v>
      </c>
      <c r="C398" s="0" t="s">
        <v>1583</v>
      </c>
      <c r="D398" s="0" t="s">
        <v>27</v>
      </c>
      <c r="E398" s="0" t="s">
        <v>1546</v>
      </c>
      <c r="F398" s="0" t="s">
        <v>58</v>
      </c>
      <c r="G398" s="0" t="s">
        <v>1582</v>
      </c>
      <c r="H398" s="0" t="s">
        <v>1582</v>
      </c>
      <c r="I398" s="0" t="s">
        <v>1584</v>
      </c>
      <c r="J398" s="0" t="s">
        <v>1584</v>
      </c>
      <c r="K398" s="0" t="s">
        <v>1585</v>
      </c>
      <c r="L398" s="0" t="s">
        <v>32</v>
      </c>
      <c r="M398" s="0" t="s">
        <v>33</v>
      </c>
      <c r="N398" s="0" t="s">
        <v>32</v>
      </c>
      <c r="O398" s="0" t="s">
        <v>35</v>
      </c>
      <c r="P398" s="0" t="s">
        <v>527</v>
      </c>
      <c r="Q398" s="0" t="s">
        <v>1585</v>
      </c>
      <c r="R398" s="0" t="s">
        <v>1583</v>
      </c>
      <c r="S398" s="0" t="s">
        <v>32</v>
      </c>
      <c r="T398" s="0">
        <f>HYPERLINK("https://storage.sslt.ae/ItemVariation/08DCF9AF-C885-4AB0-8705-6C4FDA1C1B4C/3C95CACC-42BF-40AE-BD17-1DEF410003B4.jpg","Variant Image")</f>
      </c>
      <c r="U398" s="0">
        <f>HYPERLINK("https://ec-qa-storage.kldlms.com/Item/08DCF9AF-C885-4AB0-8705-6C4FDA1C1B4C/D8A2F3A6-516A-4548-B3DB-D1B30D6A7031.jpg","Thumbnail Image")</f>
      </c>
      <c r="V398" s="0">
        <f>HYPERLINK("https://ec-qa-storage.kldlms.com/ItemGallery/08DCF9AF-C885-4AB0-8705-6C4FDA1C1B4C/31A8C1D8-5C9A-47CD-BBC4-0E124CD0B096.jpg","Gallery Image ")</f>
      </c>
      <c r="W398" s="0" t="s">
        <v>22</v>
      </c>
      <c r="X398" s="0" t="s">
        <v>1586</v>
      </c>
    </row>
    <row r="399">
      <c r="A399" s="0" t="s">
        <v>1587</v>
      </c>
      <c r="B399" s="0" t="s">
        <v>1587</v>
      </c>
      <c r="C399" s="0" t="s">
        <v>1588</v>
      </c>
      <c r="D399" s="0" t="s">
        <v>27</v>
      </c>
      <c r="E399" s="0" t="s">
        <v>1546</v>
      </c>
      <c r="F399" s="0" t="s">
        <v>58</v>
      </c>
      <c r="G399" s="0" t="s">
        <v>1587</v>
      </c>
      <c r="H399" s="0" t="s">
        <v>1587</v>
      </c>
      <c r="I399" s="0" t="s">
        <v>1589</v>
      </c>
      <c r="J399" s="0" t="s">
        <v>1589</v>
      </c>
      <c r="K399" s="0" t="s">
        <v>1590</v>
      </c>
      <c r="L399" s="0" t="s">
        <v>32</v>
      </c>
      <c r="M399" s="0" t="s">
        <v>33</v>
      </c>
      <c r="N399" s="0" t="s">
        <v>32</v>
      </c>
      <c r="O399" s="0" t="s">
        <v>35</v>
      </c>
      <c r="P399" s="0" t="s">
        <v>527</v>
      </c>
      <c r="Q399" s="0" t="s">
        <v>1590</v>
      </c>
      <c r="R399" s="0" t="s">
        <v>1588</v>
      </c>
      <c r="S399" s="0" t="s">
        <v>32</v>
      </c>
      <c r="T399" s="0">
        <f>HYPERLINK("https://storage.sslt.ae/ItemVariation/08DCF9AF-C893-40D6-8B70-11433AA64D70/C751D7AE-0D24-4C95-B926-C96267CAA208.jpg","Variant Image")</f>
      </c>
      <c r="U399" s="0">
        <f>HYPERLINK("https://ec-qa-storage.kldlms.com/Item/08DCF9AF-C893-40D6-8B70-11433AA64D70/023CDBC3-D63B-4254-930A-766C9472B8F2.jpg","Thumbnail Image")</f>
      </c>
      <c r="V399" s="0">
        <f>HYPERLINK("https://ec-qa-storage.kldlms.com/ItemGallery/08DCF9AF-C893-40D6-8B70-11433AA64D70/8FA0D223-AF01-47C6-8770-B1E5622D187F.jpg","Gallery Image ")</f>
      </c>
      <c r="W399" s="0" t="s">
        <v>22</v>
      </c>
      <c r="X399" s="0" t="s">
        <v>1591</v>
      </c>
    </row>
    <row r="400">
      <c r="A400" s="0" t="s">
        <v>1587</v>
      </c>
      <c r="B400" s="0" t="s">
        <v>1587</v>
      </c>
      <c r="C400" s="0" t="s">
        <v>1592</v>
      </c>
      <c r="D400" s="0" t="s">
        <v>27</v>
      </c>
      <c r="E400" s="0" t="s">
        <v>1546</v>
      </c>
      <c r="F400" s="0" t="s">
        <v>58</v>
      </c>
      <c r="G400" s="0" t="s">
        <v>1587</v>
      </c>
      <c r="H400" s="0" t="s">
        <v>1587</v>
      </c>
      <c r="I400" s="0" t="s">
        <v>1593</v>
      </c>
      <c r="J400" s="0" t="s">
        <v>1593</v>
      </c>
      <c r="K400" s="0" t="s">
        <v>1594</v>
      </c>
      <c r="L400" s="0" t="s">
        <v>32</v>
      </c>
      <c r="M400" s="0" t="s">
        <v>33</v>
      </c>
      <c r="N400" s="0" t="s">
        <v>32</v>
      </c>
      <c r="O400" s="0" t="s">
        <v>35</v>
      </c>
      <c r="P400" s="0" t="s">
        <v>527</v>
      </c>
      <c r="Q400" s="0" t="s">
        <v>1594</v>
      </c>
      <c r="R400" s="0" t="s">
        <v>1592</v>
      </c>
      <c r="S400" s="0" t="s">
        <v>32</v>
      </c>
      <c r="T400" s="0">
        <f>HYPERLINK("https://storage.sslt.ae/ItemVariation/08DCF9AF-C89A-4D5B-8D62-9CA1C3F160CC/0954D460-9FAF-4DC7-A304-F3E566EB1AF3.jpg","Variant Image")</f>
      </c>
      <c r="U400" s="0">
        <f>HYPERLINK("https://ec-qa-storage.kldlms.com/Item/08DCF9AF-C89A-4D5B-8D62-9CA1C3F160CC/EB3018A0-5147-4A55-BC0D-66435AD4042F.jpg","Thumbnail Image")</f>
      </c>
      <c r="V400" s="0">
        <f>HYPERLINK("https://ec-qa-storage.kldlms.com/ItemGallery/08DCF9AF-C89A-4D5B-8D62-9CA1C3F160CC/6F25B865-B2B8-4B57-A8D0-97F2AFE79290.jpg","Gallery Image ")</f>
      </c>
      <c r="W400" s="0" t="s">
        <v>22</v>
      </c>
      <c r="X400" s="0" t="s">
        <v>1595</v>
      </c>
    </row>
    <row r="401">
      <c r="A401" s="0" t="s">
        <v>1587</v>
      </c>
      <c r="B401" s="0" t="s">
        <v>1587</v>
      </c>
      <c r="C401" s="0" t="s">
        <v>1596</v>
      </c>
      <c r="D401" s="0" t="s">
        <v>27</v>
      </c>
      <c r="E401" s="0" t="s">
        <v>1546</v>
      </c>
      <c r="F401" s="0" t="s">
        <v>58</v>
      </c>
      <c r="G401" s="0" t="s">
        <v>1587</v>
      </c>
      <c r="H401" s="0" t="s">
        <v>1587</v>
      </c>
      <c r="I401" s="0" t="s">
        <v>1597</v>
      </c>
      <c r="J401" s="0" t="s">
        <v>1597</v>
      </c>
      <c r="K401" s="0" t="s">
        <v>1598</v>
      </c>
      <c r="L401" s="0" t="s">
        <v>32</v>
      </c>
      <c r="M401" s="0" t="s">
        <v>33</v>
      </c>
      <c r="N401" s="0" t="s">
        <v>32</v>
      </c>
      <c r="O401" s="0" t="s">
        <v>35</v>
      </c>
      <c r="P401" s="0" t="s">
        <v>1380</v>
      </c>
      <c r="Q401" s="0" t="s">
        <v>1598</v>
      </c>
      <c r="R401" s="0" t="s">
        <v>1596</v>
      </c>
      <c r="S401" s="0" t="s">
        <v>32</v>
      </c>
      <c r="T401" s="0">
        <f>HYPERLINK("https://storage.sslt.ae/ItemVariation/08DCF9AF-C8A4-428D-8607-B4D2B40ED071/4C1F9856-884C-48EB-9E14-9F1BB1315CF4.jpg","Variant Image")</f>
      </c>
      <c r="U401" s="0">
        <f>HYPERLINK("https://ec-qa-storage.kldlms.com/Item/08DCF9AF-C8A4-428D-8607-B4D2B40ED071/9C2DD30A-C9BA-4528-AB79-9C7808A3A67D.jpg","Thumbnail Image")</f>
      </c>
      <c r="V401" s="0">
        <f>HYPERLINK("https://ec-qa-storage.kldlms.com/ItemGallery/08DCF9AF-C8A4-428D-8607-B4D2B40ED071/BA726150-AC7C-4821-BD7D-421870D44D84.jpg","Gallery Image ")</f>
      </c>
      <c r="W401" s="0" t="s">
        <v>22</v>
      </c>
      <c r="X401" s="0" t="s">
        <v>1599</v>
      </c>
    </row>
    <row r="402">
      <c r="A402" s="0" t="s">
        <v>1600</v>
      </c>
      <c r="B402" s="0" t="s">
        <v>1600</v>
      </c>
      <c r="C402" s="0" t="s">
        <v>1601</v>
      </c>
      <c r="D402" s="0" t="s">
        <v>27</v>
      </c>
      <c r="E402" s="0" t="s">
        <v>1602</v>
      </c>
      <c r="F402" s="0" t="s">
        <v>58</v>
      </c>
      <c r="G402" s="0" t="s">
        <v>1600</v>
      </c>
      <c r="H402" s="0" t="s">
        <v>1600</v>
      </c>
      <c r="I402" s="0" t="s">
        <v>1603</v>
      </c>
      <c r="J402" s="0" t="s">
        <v>1603</v>
      </c>
      <c r="K402" s="0" t="s">
        <v>1604</v>
      </c>
      <c r="L402" s="0" t="s">
        <v>32</v>
      </c>
      <c r="M402" s="0" t="s">
        <v>33</v>
      </c>
      <c r="N402" s="0" t="s">
        <v>32</v>
      </c>
      <c r="O402" s="0" t="s">
        <v>35</v>
      </c>
      <c r="P402" s="0" t="s">
        <v>527</v>
      </c>
      <c r="Q402" s="0" t="s">
        <v>1604</v>
      </c>
      <c r="R402" s="0" t="s">
        <v>1601</v>
      </c>
      <c r="S402" s="0" t="s">
        <v>32</v>
      </c>
      <c r="T402" s="0">
        <f>HYPERLINK("https://storage.sslt.ae/ItemVariation/08DCF9AF-CB41-4864-813D-53342D32F649/013F7F4D-D07F-4621-A9D4-31947A541BAD.jpg","Variant Image")</f>
      </c>
      <c r="U402" s="0">
        <f>HYPERLINK("https://ec-qa-storage.kldlms.com/Item/08DCF9AF-CB41-4864-813D-53342D32F649/39AFD045-4FC9-4E97-A6ED-BE4E13963F66.jpg","Thumbnail Image")</f>
      </c>
      <c r="V402" s="0">
        <f>HYPERLINK("https://ec-qa-storage.kldlms.com/ItemGallery/08DCF9AF-CB41-4864-813D-53342D32F649/2BB8ACC5-8B9F-40F8-991A-7736FA47D2B1.jpg","Gallery Image ")</f>
      </c>
      <c r="W402" s="0" t="s">
        <v>22</v>
      </c>
      <c r="X402" s="0" t="s">
        <v>1605</v>
      </c>
    </row>
    <row r="403">
      <c r="A403" s="0" t="s">
        <v>1606</v>
      </c>
      <c r="B403" s="0" t="s">
        <v>1607</v>
      </c>
      <c r="C403" s="0" t="s">
        <v>1608</v>
      </c>
      <c r="D403" s="0" t="s">
        <v>27</v>
      </c>
      <c r="E403" s="0" t="s">
        <v>1609</v>
      </c>
      <c r="F403" s="0" t="s">
        <v>58</v>
      </c>
      <c r="G403" s="0" t="s">
        <v>1606</v>
      </c>
      <c r="H403" s="0" t="s">
        <v>1606</v>
      </c>
      <c r="I403" s="0" t="s">
        <v>1610</v>
      </c>
      <c r="J403" s="0" t="s">
        <v>1610</v>
      </c>
      <c r="K403" s="0" t="s">
        <v>1611</v>
      </c>
      <c r="L403" s="0" t="s">
        <v>32</v>
      </c>
      <c r="M403" s="0" t="s">
        <v>33</v>
      </c>
      <c r="N403" s="0" t="s">
        <v>32</v>
      </c>
      <c r="O403" s="0" t="s">
        <v>35</v>
      </c>
      <c r="P403" s="0" t="s">
        <v>1612</v>
      </c>
      <c r="Q403" s="0" t="s">
        <v>1611</v>
      </c>
      <c r="R403" s="0" t="s">
        <v>1608</v>
      </c>
      <c r="S403" s="0" t="s">
        <v>32</v>
      </c>
      <c r="T403" s="0">
        <f>HYPERLINK("https://storage.sslt.ae/ItemVariation/08DCF9AF-CD61-467E-8E50-C6796DD415A5/C1AF4B2B-DA10-4376-A5D8-11FA0E1571F7.jpg","Variant Image")</f>
      </c>
      <c r="U403" s="0">
        <f>HYPERLINK("https://ec-qa-storage.kldlms.com/Item/08DCF9AF-CD61-467E-8E50-C6796DD415A5/999C51CE-F385-463E-A647-6585FD142F69.jpg","Thumbnail Image")</f>
      </c>
      <c r="V403" s="0">
        <f>HYPERLINK("https://ec-qa-storage.kldlms.com/ItemGallery/08DCF9AF-CD61-467E-8E50-C6796DD415A5/9895355F-B854-4C3F-84C6-984AA37FB454.jpg","Gallery Image ")</f>
      </c>
      <c r="W403" s="0" t="s">
        <v>22</v>
      </c>
      <c r="X403" s="0" t="s">
        <v>1613</v>
      </c>
    </row>
    <row r="404">
      <c r="A404" s="0" t="s">
        <v>1614</v>
      </c>
      <c r="B404" s="0" t="s">
        <v>1614</v>
      </c>
      <c r="C404" s="0" t="s">
        <v>1615</v>
      </c>
      <c r="D404" s="0" t="s">
        <v>27</v>
      </c>
      <c r="E404" s="0" t="s">
        <v>1609</v>
      </c>
      <c r="F404" s="0" t="s">
        <v>58</v>
      </c>
      <c r="G404" s="0" t="s">
        <v>1614</v>
      </c>
      <c r="H404" s="0" t="s">
        <v>1614</v>
      </c>
      <c r="I404" s="0" t="s">
        <v>1616</v>
      </c>
      <c r="J404" s="0" t="s">
        <v>1616</v>
      </c>
      <c r="K404" s="0" t="s">
        <v>1617</v>
      </c>
      <c r="L404" s="0" t="s">
        <v>32</v>
      </c>
      <c r="M404" s="0" t="s">
        <v>33</v>
      </c>
      <c r="N404" s="0" t="s">
        <v>32</v>
      </c>
      <c r="O404" s="0" t="s">
        <v>35</v>
      </c>
      <c r="P404" s="0" t="s">
        <v>527</v>
      </c>
      <c r="Q404" s="0" t="s">
        <v>1617</v>
      </c>
      <c r="R404" s="0" t="s">
        <v>1615</v>
      </c>
      <c r="S404" s="0" t="s">
        <v>32</v>
      </c>
      <c r="T404" s="0">
        <f>HYPERLINK("https://storage.sslt.ae/ItemVariation/08DCF9AF-CD69-4DC5-84A3-E26C41C9DB7F/D73E4BBC-AE3E-4098-AEB8-C8A4946BF76B.jpg","Variant Image")</f>
      </c>
      <c r="U404" s="0">
        <f>HYPERLINK("https://ec-qa-storage.kldlms.com/Item/08DCF9AF-CD69-4DC5-84A3-E26C41C9DB7F/8AF2DF62-652C-489F-A8F5-E6FB7C77618C.jpg","Thumbnail Image")</f>
      </c>
      <c r="V404" s="0">
        <f>HYPERLINK("https://ec-qa-storage.kldlms.com/ItemGallery/08DCF9AF-CD69-4DC5-84A3-E26C41C9DB7F/AB0E4888-07A6-4DBB-9645-A2BC1354DC18.jpg","Gallery Image ")</f>
      </c>
      <c r="W404" s="0" t="s">
        <v>22</v>
      </c>
      <c r="X404" s="0" t="s">
        <v>1618</v>
      </c>
    </row>
    <row r="405">
      <c r="A405" s="0" t="s">
        <v>1619</v>
      </c>
      <c r="B405" s="0" t="s">
        <v>1619</v>
      </c>
      <c r="C405" s="0" t="s">
        <v>1620</v>
      </c>
      <c r="D405" s="0" t="s">
        <v>27</v>
      </c>
      <c r="E405" s="0" t="s">
        <v>1609</v>
      </c>
      <c r="F405" s="0" t="s">
        <v>58</v>
      </c>
      <c r="G405" s="0" t="s">
        <v>1619</v>
      </c>
      <c r="H405" s="0" t="s">
        <v>1619</v>
      </c>
      <c r="I405" s="0" t="s">
        <v>1621</v>
      </c>
      <c r="J405" s="0" t="s">
        <v>1621</v>
      </c>
      <c r="K405" s="0" t="s">
        <v>1622</v>
      </c>
      <c r="L405" s="0" t="s">
        <v>32</v>
      </c>
      <c r="M405" s="0" t="s">
        <v>33</v>
      </c>
      <c r="N405" s="0" t="s">
        <v>32</v>
      </c>
      <c r="O405" s="0" t="s">
        <v>35</v>
      </c>
      <c r="P405" s="0" t="s">
        <v>527</v>
      </c>
      <c r="Q405" s="0" t="s">
        <v>1622</v>
      </c>
      <c r="R405" s="0" t="s">
        <v>1620</v>
      </c>
      <c r="S405" s="0" t="s">
        <v>32</v>
      </c>
      <c r="T405" s="0">
        <f>HYPERLINK("https://storage.sslt.ae/ItemVariation/08DCF9AF-CD74-4EB5-8628-2851B688137F/A38D59DF-9987-4578-9865-DBB5856EFBCB.jpg","Variant Image")</f>
      </c>
      <c r="U405" s="0">
        <f>HYPERLINK("https://ec-qa-storage.kldlms.com/Item/08DCF9AF-CD74-4EB5-8628-2851B688137F/162C5A4D-AFF5-43DE-AF53-100794457846.jpg","Thumbnail Image")</f>
      </c>
      <c r="V405" s="0">
        <f>HYPERLINK("https://ec-qa-storage.kldlms.com/ItemGallery/08DCF9AF-CD74-4EB5-8628-2851B688137F/7C5FF5EB-804D-4C80-B128-EE5A81AC7139.jpg","Gallery Image ")</f>
      </c>
      <c r="W405" s="0" t="s">
        <v>22</v>
      </c>
      <c r="X405" s="0" t="s">
        <v>1623</v>
      </c>
    </row>
    <row r="406">
      <c r="A406" s="0" t="s">
        <v>1624</v>
      </c>
      <c r="B406" s="0" t="s">
        <v>1624</v>
      </c>
      <c r="C406" s="0" t="s">
        <v>1625</v>
      </c>
      <c r="D406" s="0" t="s">
        <v>27</v>
      </c>
      <c r="E406" s="0" t="s">
        <v>1609</v>
      </c>
      <c r="F406" s="0" t="s">
        <v>58</v>
      </c>
      <c r="G406" s="0" t="s">
        <v>1624</v>
      </c>
      <c r="H406" s="0" t="s">
        <v>1624</v>
      </c>
      <c r="I406" s="0" t="s">
        <v>1626</v>
      </c>
      <c r="J406" s="0" t="s">
        <v>1626</v>
      </c>
      <c r="K406" s="0" t="s">
        <v>1627</v>
      </c>
      <c r="L406" s="0" t="s">
        <v>32</v>
      </c>
      <c r="M406" s="0" t="s">
        <v>33</v>
      </c>
      <c r="N406" s="0" t="s">
        <v>32</v>
      </c>
      <c r="O406" s="0" t="s">
        <v>35</v>
      </c>
      <c r="P406" s="0" t="s">
        <v>1380</v>
      </c>
      <c r="Q406" s="0" t="s">
        <v>1627</v>
      </c>
      <c r="R406" s="0" t="s">
        <v>1625</v>
      </c>
      <c r="S406" s="0" t="s">
        <v>32</v>
      </c>
      <c r="T406" s="0">
        <f>HYPERLINK("https://storage.sslt.ae/ItemVariation/08DCF9AF-CD7F-4F0D-82EF-29A9E8FCF196/879973E1-8EF4-46F2-8847-03002C6FFB40.jpg","Variant Image")</f>
      </c>
      <c r="U406" s="0">
        <f>HYPERLINK("https://ec-qa-storage.kldlms.com/Item/08DCF9AF-CD7F-4F0D-82EF-29A9E8FCF196/64000910-AAA8-40C6-A9F8-8E3403B60172.jpg","Thumbnail Image")</f>
      </c>
      <c r="V406" s="0">
        <f>HYPERLINK("https://ec-qa-storage.kldlms.com/ItemGallery/08DCF9AF-CD7F-4F0D-82EF-29A9E8FCF196/BB2BF95E-64DD-443B-A25C-2C5D82977E89.jpg","Gallery Image ")</f>
      </c>
      <c r="W406" s="0" t="s">
        <v>22</v>
      </c>
      <c r="X406" s="0" t="s">
        <v>1628</v>
      </c>
    </row>
    <row r="407">
      <c r="A407" s="0" t="s">
        <v>1629</v>
      </c>
      <c r="B407" s="0" t="s">
        <v>1629</v>
      </c>
      <c r="C407" s="0" t="s">
        <v>1630</v>
      </c>
      <c r="D407" s="0" t="s">
        <v>27</v>
      </c>
      <c r="E407" s="0" t="s">
        <v>1609</v>
      </c>
      <c r="F407" s="0" t="s">
        <v>58</v>
      </c>
      <c r="G407" s="0" t="s">
        <v>1629</v>
      </c>
      <c r="H407" s="0" t="s">
        <v>1629</v>
      </c>
      <c r="I407" s="0" t="s">
        <v>1631</v>
      </c>
      <c r="J407" s="0" t="s">
        <v>1631</v>
      </c>
      <c r="K407" s="0" t="s">
        <v>1632</v>
      </c>
      <c r="L407" s="0" t="s">
        <v>32</v>
      </c>
      <c r="M407" s="0" t="s">
        <v>33</v>
      </c>
      <c r="N407" s="0" t="s">
        <v>32</v>
      </c>
      <c r="O407" s="0" t="s">
        <v>35</v>
      </c>
      <c r="P407" s="0" t="s">
        <v>527</v>
      </c>
      <c r="Q407" s="0" t="s">
        <v>1632</v>
      </c>
      <c r="R407" s="0" t="s">
        <v>1630</v>
      </c>
      <c r="S407" s="0" t="s">
        <v>32</v>
      </c>
      <c r="T407" s="0">
        <f>HYPERLINK("https://storage.sslt.ae/ItemVariation/08DCF9AF-CD89-4203-8329-C4A19BFF0AAC/989BC9BA-0981-4184-9CB6-CC5F325AB9C5.jpg","Variant Image")</f>
      </c>
      <c r="U407" s="0">
        <f>HYPERLINK("https://ec-qa-storage.kldlms.com/Item/08DCF9AF-CD89-4203-8329-C4A19BFF0AAC/D28ECD9E-BA2D-4D00-BD2F-B638160EE43B.jpg","Thumbnail Image")</f>
      </c>
      <c r="V407" s="0">
        <f>HYPERLINK("https://ec-qa-storage.kldlms.com/ItemGallery/08DCF9AF-CD89-4203-8329-C4A19BFF0AAC/2734158B-6664-4F3E-9696-0EBCB4CE22D9.jpg","Gallery Image ")</f>
      </c>
      <c r="W407" s="0" t="s">
        <v>22</v>
      </c>
      <c r="X407" s="0" t="s">
        <v>1633</v>
      </c>
    </row>
    <row r="408">
      <c r="A408" s="0" t="s">
        <v>1634</v>
      </c>
      <c r="B408" s="0" t="s">
        <v>1634</v>
      </c>
      <c r="C408" s="0" t="s">
        <v>1635</v>
      </c>
      <c r="D408" s="0" t="s">
        <v>27</v>
      </c>
      <c r="E408" s="0" t="s">
        <v>1609</v>
      </c>
      <c r="F408" s="0" t="s">
        <v>58</v>
      </c>
      <c r="G408" s="0" t="s">
        <v>1634</v>
      </c>
      <c r="H408" s="0" t="s">
        <v>1634</v>
      </c>
      <c r="I408" s="0" t="s">
        <v>1636</v>
      </c>
      <c r="J408" s="0" t="s">
        <v>1636</v>
      </c>
      <c r="K408" s="0" t="s">
        <v>1637</v>
      </c>
      <c r="L408" s="0" t="s">
        <v>32</v>
      </c>
      <c r="M408" s="0" t="s">
        <v>33</v>
      </c>
      <c r="N408" s="0" t="s">
        <v>32</v>
      </c>
      <c r="O408" s="0" t="s">
        <v>35</v>
      </c>
      <c r="P408" s="0" t="s">
        <v>527</v>
      </c>
      <c r="Q408" s="0" t="s">
        <v>1637</v>
      </c>
      <c r="R408" s="0" t="s">
        <v>1635</v>
      </c>
      <c r="S408" s="0" t="s">
        <v>32</v>
      </c>
      <c r="T408" s="0">
        <f>HYPERLINK("https://storage.sslt.ae/ItemVariation/08DCF9AF-CD92-4A39-8DB1-DA980D94A6FC/C52F5F75-AE4C-46C6-A6AB-4C30ABB462CC.jpg","Variant Image")</f>
      </c>
      <c r="U408" s="0">
        <f>HYPERLINK("https://ec-qa-storage.kldlms.com/Item/08DCF9AF-CD92-4A39-8DB1-DA980D94A6FC/47610B0B-7A80-42C6-9757-26B369661975.jpg","Thumbnail Image")</f>
      </c>
      <c r="V408" s="0">
        <f>HYPERLINK("https://ec-qa-storage.kldlms.com/ItemGallery/08DCF9AF-CD92-4A39-8DB1-DA980D94A6FC/6DEC7DE1-3A6E-4E68-B4A9-E8E984B2163C.jpg","Gallery Image ")</f>
      </c>
      <c r="W408" s="0" t="s">
        <v>22</v>
      </c>
      <c r="X408" s="0" t="s">
        <v>1638</v>
      </c>
    </row>
    <row r="409">
      <c r="A409" s="0" t="s">
        <v>1639</v>
      </c>
      <c r="B409" s="0" t="s">
        <v>1639</v>
      </c>
      <c r="C409" s="0" t="s">
        <v>1640</v>
      </c>
      <c r="D409" s="0" t="s">
        <v>27</v>
      </c>
      <c r="E409" s="0" t="s">
        <v>1609</v>
      </c>
      <c r="F409" s="0" t="s">
        <v>58</v>
      </c>
      <c r="G409" s="0" t="s">
        <v>1639</v>
      </c>
      <c r="H409" s="0" t="s">
        <v>1639</v>
      </c>
      <c r="I409" s="0" t="s">
        <v>1641</v>
      </c>
      <c r="J409" s="0" t="s">
        <v>1641</v>
      </c>
      <c r="K409" s="0" t="s">
        <v>1642</v>
      </c>
      <c r="L409" s="0" t="s">
        <v>32</v>
      </c>
      <c r="M409" s="0" t="s">
        <v>33</v>
      </c>
      <c r="N409" s="0" t="s">
        <v>32</v>
      </c>
      <c r="O409" s="0" t="s">
        <v>35</v>
      </c>
      <c r="P409" s="0" t="s">
        <v>527</v>
      </c>
      <c r="Q409" s="0" t="s">
        <v>1643</v>
      </c>
      <c r="R409" s="0" t="s">
        <v>1640</v>
      </c>
      <c r="S409" s="0" t="s">
        <v>92</v>
      </c>
      <c r="T409" s="0">
        <f>HYPERLINK("https://storage.sslt.ae/ItemVariation/08DCF9AF-CD9C-4129-89A4-C466F3DA49B7/D7AF0641-0696-424F-8E29-1EC31ED61E05.jpg","Variant Image")</f>
      </c>
      <c r="U409" s="0">
        <f>HYPERLINK("https://ec-qa-storage.kldlms.com/Item/08DCF9AF-CD9C-4129-89A4-C466F3DA49B7/1D458521-FA35-4FD0-BAF7-F7A8CF954FE3.jpg","Thumbnail Image")</f>
      </c>
      <c r="V409" s="0">
        <f>HYPERLINK("https://ec-qa-storage.kldlms.com/ItemGallery/08DCF9AF-CD9C-4129-89A4-C466F3DA49B7/BDE68F37-E515-4CE6-8398-508B0EB09DEE.jpg","Gallery Image ")</f>
      </c>
      <c r="W409" s="0" t="s">
        <v>22</v>
      </c>
      <c r="X409" s="0" t="s">
        <v>1644</v>
      </c>
    </row>
    <row r="410">
      <c r="A410" s="0" t="s">
        <v>1645</v>
      </c>
      <c r="B410" s="0" t="s">
        <v>1645</v>
      </c>
      <c r="C410" s="0" t="s">
        <v>1646</v>
      </c>
      <c r="D410" s="0" t="s">
        <v>27</v>
      </c>
      <c r="E410" s="0" t="s">
        <v>1609</v>
      </c>
      <c r="F410" s="0" t="s">
        <v>58</v>
      </c>
      <c r="G410" s="0" t="s">
        <v>1645</v>
      </c>
      <c r="H410" s="0" t="s">
        <v>1645</v>
      </c>
      <c r="I410" s="0" t="s">
        <v>1641</v>
      </c>
      <c r="J410" s="0" t="s">
        <v>1641</v>
      </c>
      <c r="K410" s="0" t="s">
        <v>1647</v>
      </c>
      <c r="L410" s="0" t="s">
        <v>32</v>
      </c>
      <c r="M410" s="0" t="s">
        <v>33</v>
      </c>
      <c r="N410" s="0" t="s">
        <v>32</v>
      </c>
      <c r="O410" s="0" t="s">
        <v>35</v>
      </c>
      <c r="P410" s="0" t="s">
        <v>527</v>
      </c>
      <c r="Q410" s="0" t="s">
        <v>1647</v>
      </c>
      <c r="R410" s="0" t="s">
        <v>1646</v>
      </c>
      <c r="S410" s="0" t="s">
        <v>32</v>
      </c>
      <c r="T410" s="0">
        <f>HYPERLINK("https://storage.sslt.ae/ItemVariation/08DCF9AF-CDA6-40E6-8CE4-1FB7809A4F6C/3B85198D-77F1-495A-87EB-B6D74D05F81B.jpg","Variant Image")</f>
      </c>
      <c r="U410" s="0">
        <f>HYPERLINK("https://ec-qa-storage.kldlms.com/Item/08DCF9AF-CDA6-40E6-8CE4-1FB7809A4F6C/C3B86D0F-680B-4EA5-898A-F1CADFCBE580.jpg","Thumbnail Image")</f>
      </c>
      <c r="V410" s="0">
        <f>HYPERLINK("https://ec-qa-storage.kldlms.com/ItemGallery/08DCF9AF-CDA6-40E6-8CE4-1FB7809A4F6C/640AEA28-7580-4FE0-9EC6-B67A82AB3926.jpg","Gallery Image ")</f>
      </c>
      <c r="W410" s="0" t="s">
        <v>22</v>
      </c>
      <c r="X410" s="0" t="s">
        <v>1648</v>
      </c>
    </row>
    <row r="411">
      <c r="A411" s="0" t="s">
        <v>1634</v>
      </c>
      <c r="B411" s="0" t="s">
        <v>1634</v>
      </c>
      <c r="C411" s="0" t="s">
        <v>1649</v>
      </c>
      <c r="D411" s="0" t="s">
        <v>27</v>
      </c>
      <c r="E411" s="0" t="s">
        <v>1609</v>
      </c>
      <c r="F411" s="0" t="s">
        <v>58</v>
      </c>
      <c r="G411" s="0" t="s">
        <v>1634</v>
      </c>
      <c r="H411" s="0" t="s">
        <v>1634</v>
      </c>
      <c r="I411" s="0" t="s">
        <v>1650</v>
      </c>
      <c r="J411" s="0" t="s">
        <v>1650</v>
      </c>
      <c r="K411" s="0" t="s">
        <v>1651</v>
      </c>
      <c r="L411" s="0" t="s">
        <v>32</v>
      </c>
      <c r="M411" s="0" t="s">
        <v>33</v>
      </c>
      <c r="N411" s="0" t="s">
        <v>32</v>
      </c>
      <c r="O411" s="0" t="s">
        <v>35</v>
      </c>
      <c r="P411" s="0" t="s">
        <v>527</v>
      </c>
      <c r="Q411" s="0" t="s">
        <v>1651</v>
      </c>
      <c r="R411" s="0" t="s">
        <v>1649</v>
      </c>
      <c r="S411" s="0" t="s">
        <v>32</v>
      </c>
      <c r="T411" s="0">
        <f>HYPERLINK("https://storage.sslt.ae/ItemVariation/08DCF9AF-CDAF-4329-828C-46621F730DC7/D8556CB4-33B3-4974-ADEC-00B26FC43752.jpg","Variant Image")</f>
      </c>
      <c r="U411" s="0">
        <f>HYPERLINK("https://ec-qa-storage.kldlms.com/Item/08DCF9AF-CDAF-4329-828C-46621F730DC7/A06AE3BD-BD0C-4BF8-8065-E4A371E896ED.jpg","Thumbnail Image")</f>
      </c>
      <c r="V411" s="0">
        <f>HYPERLINK("https://ec-qa-storage.kldlms.com/ItemGallery/08DCF9AF-CDAF-4329-828C-46621F730DC7/75F9B64C-0363-4E2B-B713-165127D386DE.jpg","Gallery Image ")</f>
      </c>
      <c r="W411" s="0" t="s">
        <v>22</v>
      </c>
      <c r="X411" s="0" t="s">
        <v>1652</v>
      </c>
    </row>
    <row r="412">
      <c r="A412" s="0" t="s">
        <v>1634</v>
      </c>
      <c r="B412" s="0" t="s">
        <v>1634</v>
      </c>
      <c r="C412" s="0" t="s">
        <v>1653</v>
      </c>
      <c r="D412" s="0" t="s">
        <v>27</v>
      </c>
      <c r="E412" s="0" t="s">
        <v>1609</v>
      </c>
      <c r="F412" s="0" t="s">
        <v>58</v>
      </c>
      <c r="G412" s="0" t="s">
        <v>1634</v>
      </c>
      <c r="H412" s="0" t="s">
        <v>1634</v>
      </c>
      <c r="I412" s="0" t="s">
        <v>1654</v>
      </c>
      <c r="J412" s="0" t="s">
        <v>1654</v>
      </c>
      <c r="K412" s="0" t="s">
        <v>1655</v>
      </c>
      <c r="L412" s="0" t="s">
        <v>32</v>
      </c>
      <c r="M412" s="0" t="s">
        <v>33</v>
      </c>
      <c r="N412" s="0" t="s">
        <v>32</v>
      </c>
      <c r="O412" s="0" t="s">
        <v>35</v>
      </c>
      <c r="P412" s="0" t="s">
        <v>527</v>
      </c>
      <c r="Q412" s="0" t="s">
        <v>1655</v>
      </c>
      <c r="R412" s="0" t="s">
        <v>1653</v>
      </c>
      <c r="S412" s="0" t="s">
        <v>32</v>
      </c>
      <c r="T412" s="0">
        <f>HYPERLINK("https://storage.sslt.ae/ItemVariation/08DCF9AF-CDB8-4E22-8B4A-E74CC32D31CE/502FB11D-130E-4BC0-8355-C29B732197B7.jpg","Variant Image")</f>
      </c>
      <c r="U412" s="0">
        <f>HYPERLINK("https://ec-qa-storage.kldlms.com/Item/08DCF9AF-CDB8-4E22-8B4A-E74CC32D31CE/7FF77D4A-DCE0-44F0-8D12-0340D7DCA69A.jpg","Thumbnail Image")</f>
      </c>
      <c r="V412" s="0">
        <f>HYPERLINK("https://ec-qa-storage.kldlms.com/ItemGallery/08DCF9AF-CDB8-4E22-8B4A-E74CC32D31CE/290856FC-6916-4D75-8A48-88A843D09526.jpg","Gallery Image ")</f>
      </c>
      <c r="W412" s="0" t="s">
        <v>22</v>
      </c>
      <c r="X412" s="0" t="s">
        <v>1656</v>
      </c>
    </row>
    <row r="413">
      <c r="A413" s="0" t="s">
        <v>1657</v>
      </c>
      <c r="B413" s="0" t="s">
        <v>1657</v>
      </c>
      <c r="C413" s="0" t="s">
        <v>1658</v>
      </c>
      <c r="D413" s="0" t="s">
        <v>27</v>
      </c>
      <c r="E413" s="0" t="s">
        <v>1609</v>
      </c>
      <c r="F413" s="0" t="s">
        <v>58</v>
      </c>
      <c r="G413" s="0" t="s">
        <v>1657</v>
      </c>
      <c r="H413" s="0" t="s">
        <v>1657</v>
      </c>
      <c r="I413" s="0" t="s">
        <v>1659</v>
      </c>
      <c r="J413" s="0" t="s">
        <v>1659</v>
      </c>
      <c r="K413" s="0" t="s">
        <v>1660</v>
      </c>
      <c r="L413" s="0" t="s">
        <v>32</v>
      </c>
      <c r="M413" s="0" t="s">
        <v>33</v>
      </c>
      <c r="N413" s="0" t="s">
        <v>32</v>
      </c>
      <c r="O413" s="0" t="s">
        <v>35</v>
      </c>
      <c r="P413" s="0" t="s">
        <v>527</v>
      </c>
      <c r="Q413" s="0" t="s">
        <v>1660</v>
      </c>
      <c r="R413" s="0" t="s">
        <v>1658</v>
      </c>
      <c r="S413" s="0" t="s">
        <v>32</v>
      </c>
      <c r="T413" s="0">
        <f>HYPERLINK("https://storage.sslt.ae/ItemVariation/08DCF9AF-CDC3-491B-8847-917D95ABEBBA/8CCD11E9-BEE8-43AE-943A-8A44E70771E9.jpg","Variant Image")</f>
      </c>
      <c r="U413" s="0">
        <f>HYPERLINK("https://ec-qa-storage.kldlms.com/Item/08DCF9AF-CDC3-491B-8847-917D95ABEBBA/5E79EA0A-BA98-48F6-ABF6-D17F3198EB2E.jpg","Thumbnail Image")</f>
      </c>
      <c r="V413" s="0">
        <f>HYPERLINK("https://ec-qa-storage.kldlms.com/ItemGallery/08DCF9AF-CDC3-491B-8847-917D95ABEBBA/73BF7C77-E412-4337-923C-8DDCA7ACB0FA.jpg","Gallery Image ")</f>
      </c>
      <c r="W413" s="0" t="s">
        <v>22</v>
      </c>
      <c r="X413" s="0" t="s">
        <v>1661</v>
      </c>
    </row>
    <row r="414">
      <c r="A414" s="0" t="s">
        <v>1657</v>
      </c>
      <c r="B414" s="0" t="s">
        <v>1657</v>
      </c>
      <c r="C414" s="0" t="s">
        <v>1662</v>
      </c>
      <c r="D414" s="0" t="s">
        <v>27</v>
      </c>
      <c r="E414" s="0" t="s">
        <v>1609</v>
      </c>
      <c r="F414" s="0" t="s">
        <v>58</v>
      </c>
      <c r="G414" s="0" t="s">
        <v>1657</v>
      </c>
      <c r="H414" s="0" t="s">
        <v>1657</v>
      </c>
      <c r="I414" s="0" t="s">
        <v>1663</v>
      </c>
      <c r="J414" s="0" t="s">
        <v>1663</v>
      </c>
      <c r="K414" s="0" t="s">
        <v>1664</v>
      </c>
      <c r="L414" s="0" t="s">
        <v>32</v>
      </c>
      <c r="M414" s="0" t="s">
        <v>33</v>
      </c>
      <c r="N414" s="0" t="s">
        <v>32</v>
      </c>
      <c r="O414" s="0" t="s">
        <v>35</v>
      </c>
      <c r="P414" s="0" t="s">
        <v>527</v>
      </c>
      <c r="Q414" s="0" t="s">
        <v>1664</v>
      </c>
      <c r="R414" s="0" t="s">
        <v>1662</v>
      </c>
      <c r="S414" s="0" t="s">
        <v>32</v>
      </c>
      <c r="T414" s="0">
        <f>HYPERLINK("https://storage.sslt.ae/ItemVariation/08DCF9AF-CDDA-4C38-81D9-7CFADCC47685/0538E33D-2874-4183-9AE8-A8DACA76132F.jpg","Variant Image")</f>
      </c>
      <c r="U414" s="0">
        <f>HYPERLINK("https://ec-qa-storage.kldlms.com/Item/08DCF9AF-CDDA-4C38-81D9-7CFADCC47685/89AC9E99-34AD-420E-AA08-99CD70AEA404.jpg","Thumbnail Image")</f>
      </c>
      <c r="V414" s="0">
        <f>HYPERLINK("https://ec-qa-storage.kldlms.com/ItemGallery/08DCF9AF-CDDA-4C38-81D9-7CFADCC47685/8FE0E301-8B52-4F0E-985B-195DD5BD4BB2.jpg","Gallery Image ")</f>
      </c>
      <c r="W414" s="0" t="s">
        <v>22</v>
      </c>
      <c r="X414" s="0" t="s">
        <v>1665</v>
      </c>
    </row>
    <row r="415">
      <c r="A415" s="0" t="s">
        <v>1666</v>
      </c>
      <c r="B415" s="0" t="s">
        <v>1666</v>
      </c>
      <c r="C415" s="0" t="s">
        <v>1667</v>
      </c>
      <c r="D415" s="0" t="s">
        <v>27</v>
      </c>
      <c r="E415" s="0" t="s">
        <v>1668</v>
      </c>
      <c r="F415" s="0" t="s">
        <v>557</v>
      </c>
      <c r="G415" s="0" t="s">
        <v>1666</v>
      </c>
      <c r="H415" s="0" t="s">
        <v>1666</v>
      </c>
      <c r="I415" s="0" t="s">
        <v>1669</v>
      </c>
      <c r="J415" s="0" t="s">
        <v>1669</v>
      </c>
      <c r="K415" s="0" t="s">
        <v>1670</v>
      </c>
      <c r="L415" s="0" t="s">
        <v>32</v>
      </c>
      <c r="M415" s="0" t="s">
        <v>33</v>
      </c>
      <c r="N415" s="0" t="s">
        <v>32</v>
      </c>
      <c r="O415" s="0" t="s">
        <v>35</v>
      </c>
      <c r="P415" s="0" t="s">
        <v>590</v>
      </c>
      <c r="Q415" s="0" t="s">
        <v>1670</v>
      </c>
      <c r="R415" s="0" t="s">
        <v>1667</v>
      </c>
      <c r="S415" s="0" t="s">
        <v>32</v>
      </c>
      <c r="T415" s="0">
        <f>HYPERLINK("https://storage.sslt.ae/ItemVariation/08DCF9AF-E611-47D4-8C03-DF253144EB7B/8A510D64-BB51-4A38-9F30-26C5711D115A.jpg","Variant Image")</f>
      </c>
      <c r="U415" s="0">
        <f>HYPERLINK("https://ec-qa-storage.kldlms.com/Item/08DCF9AF-E611-47D4-8C03-DF253144EB7B/AFA2122B-5AA0-4662-A6F0-1C8456D92104.jpg","Thumbnail Image")</f>
      </c>
      <c r="V415" s="0">
        <f>HYPERLINK("https://ec-qa-storage.kldlms.com/ItemGallery/08DCF9AF-E611-47D4-8C03-DF253144EB7B/16913213-12D0-4D86-A941-DA323C7ED93F.jpg","Gallery Image ")</f>
      </c>
      <c r="W415" s="0" t="s">
        <v>22</v>
      </c>
      <c r="X415" s="0" t="s">
        <v>1671</v>
      </c>
    </row>
    <row r="416">
      <c r="A416" s="0" t="s">
        <v>1672</v>
      </c>
      <c r="B416" s="0" t="s">
        <v>1672</v>
      </c>
      <c r="C416" s="0" t="s">
        <v>1673</v>
      </c>
      <c r="D416" s="0" t="s">
        <v>27</v>
      </c>
      <c r="E416" s="0" t="s">
        <v>1668</v>
      </c>
      <c r="F416" s="0" t="s">
        <v>557</v>
      </c>
      <c r="G416" s="0" t="s">
        <v>1672</v>
      </c>
      <c r="H416" s="0" t="s">
        <v>1672</v>
      </c>
      <c r="I416" s="0" t="s">
        <v>1674</v>
      </c>
      <c r="J416" s="0" t="s">
        <v>1674</v>
      </c>
      <c r="K416" s="0" t="s">
        <v>1675</v>
      </c>
      <c r="L416" s="0" t="s">
        <v>32</v>
      </c>
      <c r="M416" s="0" t="s">
        <v>33</v>
      </c>
      <c r="N416" s="0" t="s">
        <v>32</v>
      </c>
      <c r="O416" s="0" t="s">
        <v>35</v>
      </c>
      <c r="P416" s="0" t="s">
        <v>1380</v>
      </c>
      <c r="Q416" s="0" t="s">
        <v>1675</v>
      </c>
      <c r="R416" s="0" t="s">
        <v>1673</v>
      </c>
      <c r="S416" s="0" t="s">
        <v>32</v>
      </c>
      <c r="T416" s="0">
        <f>HYPERLINK("https://storage.sslt.ae/ItemVariation/08DCF9AF-E626-4EE0-85B3-296D4302C8DB/E803B3DD-0163-4C07-A3D7-A1F355A8987E.jpg","Variant Image")</f>
      </c>
      <c r="U416" s="0">
        <f>HYPERLINK("https://ec-qa-storage.kldlms.com/Item/08DCF9AF-E626-4EE0-85B3-296D4302C8DB/DB1EC37C-8D33-407A-AB8F-9C458834DB62.jpg","Thumbnail Image")</f>
      </c>
      <c r="V416" s="0">
        <f>HYPERLINK("https://ec-qa-storage.kldlms.com/ItemGallery/08DCF9AF-E626-4EE0-85B3-296D4302C8DB/50A9BD7F-88C4-4007-AE56-A28EC0D4C5BE.jpg","Gallery Image ")</f>
      </c>
      <c r="W416" s="0" t="s">
        <v>22</v>
      </c>
      <c r="X416" s="0" t="s">
        <v>1676</v>
      </c>
    </row>
    <row r="417">
      <c r="A417" s="0" t="s">
        <v>1677</v>
      </c>
      <c r="B417" s="0" t="s">
        <v>1677</v>
      </c>
      <c r="C417" s="0" t="s">
        <v>1678</v>
      </c>
      <c r="D417" s="0" t="s">
        <v>27</v>
      </c>
      <c r="E417" s="0" t="s">
        <v>1668</v>
      </c>
      <c r="F417" s="0" t="s">
        <v>557</v>
      </c>
      <c r="G417" s="0" t="s">
        <v>1677</v>
      </c>
      <c r="H417" s="0" t="s">
        <v>1677</v>
      </c>
      <c r="I417" s="0" t="s">
        <v>1679</v>
      </c>
      <c r="J417" s="0" t="s">
        <v>1679</v>
      </c>
      <c r="K417" s="0" t="s">
        <v>1680</v>
      </c>
      <c r="L417" s="0" t="s">
        <v>32</v>
      </c>
      <c r="M417" s="0" t="s">
        <v>33</v>
      </c>
      <c r="N417" s="0" t="s">
        <v>32</v>
      </c>
      <c r="O417" s="0" t="s">
        <v>35</v>
      </c>
      <c r="P417" s="0" t="s">
        <v>996</v>
      </c>
      <c r="Q417" s="0" t="s">
        <v>1680</v>
      </c>
      <c r="R417" s="0" t="s">
        <v>1678</v>
      </c>
      <c r="S417" s="0" t="s">
        <v>32</v>
      </c>
      <c r="T417" s="0">
        <f>HYPERLINK("https://storage.sslt.ae/ItemVariation/08DCF9AF-E63C-466A-83A5-98F6C533FE5A/758AE5BD-3A86-45A2-A9FC-04ED70FA6B72.jpg","Variant Image")</f>
      </c>
      <c r="U417" s="0">
        <f>HYPERLINK("https://ec-qa-storage.kldlms.com/Item/08DCF9AF-E63C-466A-83A5-98F6C533FE5A/4D635EA5-EB65-46A3-8AED-823E457EBF8E.jpg","Thumbnail Image")</f>
      </c>
      <c r="V417" s="0">
        <f>HYPERLINK("https://ec-qa-storage.kldlms.com/ItemGallery/08DCF9AF-E63C-466A-83A5-98F6C533FE5A/3640A0CC-6AB3-457C-AD09-AA0707F60DF3.jpg","Gallery Image ")</f>
      </c>
      <c r="W417" s="0" t="s">
        <v>22</v>
      </c>
      <c r="X417" s="0" t="s">
        <v>1681</v>
      </c>
    </row>
    <row r="418">
      <c r="A418" s="0" t="s">
        <v>1682</v>
      </c>
      <c r="B418" s="0" t="s">
        <v>1682</v>
      </c>
      <c r="C418" s="0" t="s">
        <v>1683</v>
      </c>
      <c r="D418" s="0" t="s">
        <v>27</v>
      </c>
      <c r="E418" s="0" t="s">
        <v>1668</v>
      </c>
      <c r="F418" s="0" t="s">
        <v>557</v>
      </c>
      <c r="G418" s="0" t="s">
        <v>1682</v>
      </c>
      <c r="H418" s="0" t="s">
        <v>1682</v>
      </c>
      <c r="I418" s="0" t="s">
        <v>1684</v>
      </c>
      <c r="J418" s="0" t="s">
        <v>1684</v>
      </c>
      <c r="K418" s="0" t="s">
        <v>1685</v>
      </c>
      <c r="L418" s="0" t="s">
        <v>32</v>
      </c>
      <c r="M418" s="0" t="s">
        <v>33</v>
      </c>
      <c r="N418" s="0" t="s">
        <v>32</v>
      </c>
      <c r="O418" s="0" t="s">
        <v>35</v>
      </c>
      <c r="P418" s="0" t="s">
        <v>996</v>
      </c>
      <c r="Q418" s="0" t="s">
        <v>1685</v>
      </c>
      <c r="R418" s="0" t="s">
        <v>1683</v>
      </c>
      <c r="S418" s="0" t="s">
        <v>32</v>
      </c>
      <c r="T418" s="0">
        <f>HYPERLINK("https://storage.sslt.ae/ItemVariation/08DCF9AF-E646-4569-87BC-09298CEB2E81/56C1891D-07B1-4734-A6DC-C8D8C12F4628.jpg","Variant Image")</f>
      </c>
      <c r="U418" s="0">
        <f>HYPERLINK("https://ec-qa-storage.kldlms.com/Item/08DCF9AF-E646-4569-87BC-09298CEB2E81/2DF58422-B928-49DC-8871-65B1FB7A08B0.jpg","Thumbnail Image")</f>
      </c>
      <c r="V418" s="0">
        <f>HYPERLINK("https://ec-qa-storage.kldlms.com/ItemGallery/08DCF9AF-E646-4569-87BC-09298CEB2E81/DA25A73C-6EF7-4D2C-AA03-2F938A4F660D.jpg","Gallery Image ")</f>
      </c>
      <c r="W418" s="0" t="s">
        <v>22</v>
      </c>
      <c r="X418" s="0" t="s">
        <v>1686</v>
      </c>
    </row>
    <row r="419">
      <c r="A419" s="0" t="s">
        <v>1687</v>
      </c>
      <c r="B419" s="0" t="s">
        <v>1687</v>
      </c>
      <c r="C419" s="0" t="s">
        <v>1688</v>
      </c>
      <c r="D419" s="0" t="s">
        <v>27</v>
      </c>
      <c r="E419" s="0" t="s">
        <v>1668</v>
      </c>
      <c r="F419" s="0" t="s">
        <v>557</v>
      </c>
      <c r="G419" s="0" t="s">
        <v>1687</v>
      </c>
      <c r="H419" s="0" t="s">
        <v>1687</v>
      </c>
      <c r="I419" s="0" t="s">
        <v>1689</v>
      </c>
      <c r="J419" s="0" t="s">
        <v>1689</v>
      </c>
      <c r="K419" s="0" t="s">
        <v>1690</v>
      </c>
      <c r="L419" s="0" t="s">
        <v>32</v>
      </c>
      <c r="M419" s="0" t="s">
        <v>33</v>
      </c>
      <c r="N419" s="0" t="s">
        <v>32</v>
      </c>
      <c r="O419" s="0" t="s">
        <v>35</v>
      </c>
      <c r="P419" s="0" t="s">
        <v>1323</v>
      </c>
      <c r="Q419" s="0" t="s">
        <v>1690</v>
      </c>
      <c r="R419" s="0" t="s">
        <v>1688</v>
      </c>
      <c r="S419" s="0" t="s">
        <v>32</v>
      </c>
      <c r="T419" s="0">
        <f>HYPERLINK("https://storage.sslt.ae/ItemVariation/08DCF9AF-E663-4E5C-856E-FB1AC78A24D0/F2525534-A121-4E83-B5D5-E919FA85B532.jpg","Variant Image")</f>
      </c>
      <c r="U419" s="0">
        <f>HYPERLINK("https://ec-qa-storage.kldlms.com/Item/08DCF9AF-E663-4E5C-856E-FB1AC78A24D0/A1A3498D-83BF-4DA0-B40B-64C249AFF492.jpg","Thumbnail Image")</f>
      </c>
      <c r="V419" s="0">
        <f>HYPERLINK("https://ec-qa-storage.kldlms.com/ItemGallery/08DCF9AF-E663-4E5C-856E-FB1AC78A24D0/EC850B3C-BC54-4B19-83DC-BAA9914F4229.jpg","Gallery Image ")</f>
      </c>
      <c r="W419" s="0" t="s">
        <v>22</v>
      </c>
      <c r="X419" s="0" t="s">
        <v>1691</v>
      </c>
    </row>
    <row r="420">
      <c r="A420" s="0" t="s">
        <v>1692</v>
      </c>
      <c r="B420" s="0" t="s">
        <v>1692</v>
      </c>
      <c r="C420" s="0" t="s">
        <v>1693</v>
      </c>
      <c r="D420" s="0" t="s">
        <v>27</v>
      </c>
      <c r="E420" s="0" t="s">
        <v>1668</v>
      </c>
      <c r="F420" s="0" t="s">
        <v>557</v>
      </c>
      <c r="G420" s="0" t="s">
        <v>1692</v>
      </c>
      <c r="H420" s="0" t="s">
        <v>1692</v>
      </c>
      <c r="I420" s="0" t="s">
        <v>1694</v>
      </c>
      <c r="J420" s="0" t="s">
        <v>1694</v>
      </c>
      <c r="K420" s="0" t="s">
        <v>1695</v>
      </c>
      <c r="L420" s="0" t="s">
        <v>32</v>
      </c>
      <c r="M420" s="0" t="s">
        <v>33</v>
      </c>
      <c r="N420" s="0" t="s">
        <v>32</v>
      </c>
      <c r="O420" s="0" t="s">
        <v>35</v>
      </c>
      <c r="P420" s="0" t="s">
        <v>527</v>
      </c>
      <c r="Q420" s="0" t="s">
        <v>1695</v>
      </c>
      <c r="R420" s="0" t="s">
        <v>1693</v>
      </c>
      <c r="S420" s="0" t="s">
        <v>32</v>
      </c>
      <c r="T420" s="0">
        <f>HYPERLINK("https://storage.sslt.ae/ItemVariation/08DCF9AF-E678-4C90-8856-C8B9D5352A6B/EF701396-B175-444B-A3A0-54F836262D2A.jpg","Variant Image")</f>
      </c>
      <c r="U420" s="0">
        <f>HYPERLINK("https://ec-qa-storage.kldlms.com/Item/08DCF9AF-E678-4C90-8856-C8B9D5352A6B/034A98C3-3ECB-4107-9B7D-7133651ACAA4.jpg","Thumbnail Image")</f>
      </c>
      <c r="V420" s="0">
        <f>HYPERLINK("https://ec-qa-storage.kldlms.com/ItemGallery/08DCF9AF-E678-4C90-8856-C8B9D5352A6B/01335778-95D1-4E82-87E7-7A76079CD6F0.jpg","Gallery Image ")</f>
      </c>
      <c r="W420" s="0" t="s">
        <v>22</v>
      </c>
      <c r="X420" s="0" t="s">
        <v>1696</v>
      </c>
    </row>
    <row r="421">
      <c r="A421" s="0" t="s">
        <v>1697</v>
      </c>
      <c r="B421" s="0" t="s">
        <v>1697</v>
      </c>
      <c r="C421" s="0" t="s">
        <v>1698</v>
      </c>
      <c r="D421" s="0" t="s">
        <v>27</v>
      </c>
      <c r="E421" s="0" t="s">
        <v>1668</v>
      </c>
      <c r="F421" s="0" t="s">
        <v>557</v>
      </c>
      <c r="G421" s="0" t="s">
        <v>1697</v>
      </c>
      <c r="H421" s="0" t="s">
        <v>1697</v>
      </c>
      <c r="I421" s="0" t="s">
        <v>1699</v>
      </c>
      <c r="J421" s="0" t="s">
        <v>1699</v>
      </c>
      <c r="K421" s="0" t="s">
        <v>1700</v>
      </c>
      <c r="L421" s="0" t="s">
        <v>32</v>
      </c>
      <c r="M421" s="0" t="s">
        <v>33</v>
      </c>
      <c r="N421" s="0" t="s">
        <v>32</v>
      </c>
      <c r="O421" s="0" t="s">
        <v>35</v>
      </c>
      <c r="P421" s="0" t="s">
        <v>563</v>
      </c>
      <c r="Q421" s="0" t="s">
        <v>1700</v>
      </c>
      <c r="R421" s="0" t="s">
        <v>1698</v>
      </c>
      <c r="S421" s="0" t="s">
        <v>32</v>
      </c>
      <c r="T421" s="0">
        <f>HYPERLINK("https://storage.sslt.ae/ItemVariation/08DCF9AF-E688-4A0E-862E-CC62ADA4CC29/157CFB9A-63CF-46BB-B740-94258FD69EA2.jpg","Variant Image")</f>
      </c>
      <c r="U421" s="0">
        <f>HYPERLINK("https://ec-qa-storage.kldlms.com/Item/08DCF9AF-E688-4A0E-862E-CC62ADA4CC29/863F2559-3173-4083-8F21-D80B8C905F43.jpg","Thumbnail Image")</f>
      </c>
      <c r="V421" s="0">
        <f>HYPERLINK("https://ec-qa-storage.kldlms.com/ItemGallery/08DCF9AF-E688-4A0E-862E-CC62ADA4CC29/CB2E4F49-E7C6-4A4A-A3D3-3FF319FFD31B.jpg","Gallery Image ")</f>
      </c>
      <c r="W421" s="0" t="s">
        <v>22</v>
      </c>
      <c r="X421" s="0" t="s">
        <v>1701</v>
      </c>
    </row>
    <row r="422">
      <c r="A422" s="0" t="s">
        <v>1702</v>
      </c>
      <c r="B422" s="0" t="s">
        <v>1702</v>
      </c>
      <c r="C422" s="0" t="s">
        <v>1703</v>
      </c>
      <c r="D422" s="0" t="s">
        <v>27</v>
      </c>
      <c r="E422" s="0" t="s">
        <v>1668</v>
      </c>
      <c r="F422" s="0" t="s">
        <v>557</v>
      </c>
      <c r="G422" s="0" t="s">
        <v>1702</v>
      </c>
      <c r="H422" s="0" t="s">
        <v>1702</v>
      </c>
      <c r="I422" s="0" t="s">
        <v>1704</v>
      </c>
      <c r="J422" s="0" t="s">
        <v>1704</v>
      </c>
      <c r="K422" s="0" t="s">
        <v>1705</v>
      </c>
      <c r="L422" s="0" t="s">
        <v>32</v>
      </c>
      <c r="M422" s="0" t="s">
        <v>33</v>
      </c>
      <c r="N422" s="0" t="s">
        <v>32</v>
      </c>
      <c r="O422" s="0" t="s">
        <v>35</v>
      </c>
      <c r="P422" s="0" t="s">
        <v>527</v>
      </c>
      <c r="Q422" s="0" t="s">
        <v>1705</v>
      </c>
      <c r="R422" s="0" t="s">
        <v>1703</v>
      </c>
      <c r="S422" s="0" t="s">
        <v>32</v>
      </c>
      <c r="T422" s="0">
        <f>HYPERLINK("https://storage.sslt.ae/ItemVariation/08DCF9AF-E697-4DE6-8680-52ED33920D8C/3B9F690D-6A6D-43B6-94E8-B50F3FE231E7.jpg","Variant Image")</f>
      </c>
      <c r="U422" s="0">
        <f>HYPERLINK("https://ec-qa-storage.kldlms.com/Item/08DCF9AF-E697-4DE6-8680-52ED33920D8C/73442CFB-EF37-4BE5-B8F5-18E9BD10B47A.jpg","Thumbnail Image")</f>
      </c>
      <c r="V422" s="0">
        <f>HYPERLINK("https://ec-qa-storage.kldlms.com/ItemGallery/08DCF9AF-E697-4DE6-8680-52ED33920D8C/6358B6C0-3D6B-4FB0-A3F4-E3EF76139D8E.jpg","Gallery Image ")</f>
      </c>
      <c r="W422" s="0" t="s">
        <v>22</v>
      </c>
      <c r="X422" s="0" t="s">
        <v>1706</v>
      </c>
    </row>
    <row r="423">
      <c r="A423" s="0" t="s">
        <v>1707</v>
      </c>
      <c r="B423" s="0" t="s">
        <v>1707</v>
      </c>
      <c r="C423" s="0" t="s">
        <v>1708</v>
      </c>
      <c r="D423" s="0" t="s">
        <v>27</v>
      </c>
      <c r="E423" s="0" t="s">
        <v>1668</v>
      </c>
      <c r="F423" s="0" t="s">
        <v>557</v>
      </c>
      <c r="G423" s="0" t="s">
        <v>1707</v>
      </c>
      <c r="H423" s="0" t="s">
        <v>1707</v>
      </c>
      <c r="I423" s="0" t="s">
        <v>1709</v>
      </c>
      <c r="J423" s="0" t="s">
        <v>1709</v>
      </c>
      <c r="K423" s="0" t="s">
        <v>1710</v>
      </c>
      <c r="L423" s="0" t="s">
        <v>32</v>
      </c>
      <c r="M423" s="0" t="s">
        <v>33</v>
      </c>
      <c r="N423" s="0" t="s">
        <v>32</v>
      </c>
      <c r="O423" s="0" t="s">
        <v>35</v>
      </c>
      <c r="P423" s="0" t="s">
        <v>527</v>
      </c>
      <c r="Q423" s="0" t="s">
        <v>1710</v>
      </c>
      <c r="R423" s="0" t="s">
        <v>1708</v>
      </c>
      <c r="S423" s="0" t="s">
        <v>32</v>
      </c>
      <c r="T423" s="0">
        <f>HYPERLINK("https://storage.sslt.ae/ItemVariation/08DCF9AF-E6A6-4AEA-858F-DD2F17BE5497/5DBD11D1-1924-4709-8353-C3B0EF34AACB.jpg","Variant Image")</f>
      </c>
      <c r="U423" s="0">
        <f>HYPERLINK("https://ec-qa-storage.kldlms.com/Item/08DCF9AF-E6A6-4AEA-858F-DD2F17BE5497/334CFF22-100B-4245-9CDE-3FCE7EB8156A.jpg","Thumbnail Image")</f>
      </c>
      <c r="V423" s="0">
        <f>HYPERLINK("https://ec-qa-storage.kldlms.com/ItemGallery/08DCF9AF-E6A6-4AEA-858F-DD2F17BE5497/A907A544-B7E5-481A-BA12-F106A8076DF9.jpg","Gallery Image ")</f>
      </c>
      <c r="W423" s="0" t="s">
        <v>22</v>
      </c>
      <c r="X423" s="0" t="s">
        <v>1711</v>
      </c>
    </row>
    <row r="424">
      <c r="A424" s="0" t="s">
        <v>1707</v>
      </c>
      <c r="B424" s="0" t="s">
        <v>1707</v>
      </c>
      <c r="C424" s="0" t="s">
        <v>1712</v>
      </c>
      <c r="D424" s="0" t="s">
        <v>27</v>
      </c>
      <c r="E424" s="0" t="s">
        <v>1668</v>
      </c>
      <c r="F424" s="0" t="s">
        <v>557</v>
      </c>
      <c r="G424" s="0" t="s">
        <v>1707</v>
      </c>
      <c r="H424" s="0" t="s">
        <v>1707</v>
      </c>
      <c r="I424" s="0" t="s">
        <v>1713</v>
      </c>
      <c r="J424" s="0" t="s">
        <v>1713</v>
      </c>
      <c r="K424" s="0" t="s">
        <v>1714</v>
      </c>
      <c r="L424" s="0" t="s">
        <v>32</v>
      </c>
      <c r="M424" s="0" t="s">
        <v>33</v>
      </c>
      <c r="N424" s="0" t="s">
        <v>32</v>
      </c>
      <c r="O424" s="0" t="s">
        <v>35</v>
      </c>
      <c r="P424" s="0" t="s">
        <v>1323</v>
      </c>
      <c r="Q424" s="0" t="s">
        <v>1714</v>
      </c>
      <c r="R424" s="0" t="s">
        <v>1712</v>
      </c>
      <c r="S424" s="0" t="s">
        <v>32</v>
      </c>
      <c r="T424" s="0">
        <f>HYPERLINK("https://storage.sslt.ae/ItemVariation/08DCF9AF-E6BC-4BD2-8495-A9816B250D01/3D551AA8-A248-4C60-8204-BE58F7A40BB0.jpg","Variant Image")</f>
      </c>
      <c r="U424" s="0">
        <f>HYPERLINK("https://ec-qa-storage.kldlms.com/Item/08DCF9AF-E6BC-4BD2-8495-A9816B250D01/2F3FA665-5EEF-4D11-8701-ADFAEF85933F.jpg","Thumbnail Image")</f>
      </c>
      <c r="V424" s="0">
        <f>HYPERLINK("https://ec-qa-storage.kldlms.com/ItemGallery/08DCF9AF-E6BC-4BD2-8495-A9816B250D01/B2343186-E64B-4A73-B032-924F38A58273.jpg","Gallery Image ")</f>
      </c>
      <c r="W424" s="0" t="s">
        <v>22</v>
      </c>
      <c r="X424" s="0" t="s">
        <v>1715</v>
      </c>
    </row>
    <row r="425">
      <c r="A425" s="0" t="s">
        <v>1716</v>
      </c>
      <c r="B425" s="0" t="s">
        <v>1716</v>
      </c>
      <c r="C425" s="0" t="s">
        <v>1717</v>
      </c>
      <c r="D425" s="0" t="s">
        <v>27</v>
      </c>
      <c r="E425" s="0" t="s">
        <v>1668</v>
      </c>
      <c r="F425" s="0" t="s">
        <v>557</v>
      </c>
      <c r="G425" s="0" t="s">
        <v>1716</v>
      </c>
      <c r="H425" s="0" t="s">
        <v>1716</v>
      </c>
      <c r="I425" s="0" t="s">
        <v>1718</v>
      </c>
      <c r="J425" s="0" t="s">
        <v>1718</v>
      </c>
      <c r="K425" s="0" t="s">
        <v>1719</v>
      </c>
      <c r="L425" s="0" t="s">
        <v>32</v>
      </c>
      <c r="M425" s="0" t="s">
        <v>33</v>
      </c>
      <c r="N425" s="0" t="s">
        <v>32</v>
      </c>
      <c r="O425" s="0" t="s">
        <v>35</v>
      </c>
      <c r="P425" s="0" t="s">
        <v>527</v>
      </c>
      <c r="Q425" s="0" t="s">
        <v>1719</v>
      </c>
      <c r="R425" s="0" t="s">
        <v>1717</v>
      </c>
      <c r="S425" s="0" t="s">
        <v>32</v>
      </c>
      <c r="T425" s="0">
        <f>HYPERLINK("https://storage.sslt.ae/ItemVariation/08DCF9AF-E6C6-454A-89AE-1AE30DECAC6E/DC862556-8FE4-42FC-AD6F-42ABDFDF3565.jpg","Variant Image")</f>
      </c>
      <c r="U425" s="0">
        <f>HYPERLINK("https://ec-qa-storage.kldlms.com/Item/08DCF9AF-E6C6-454A-89AE-1AE30DECAC6E/2C2D84C8-BC4E-4DFD-B7FA-EED104F28A11.jpg","Thumbnail Image")</f>
      </c>
      <c r="V425" s="0">
        <f>HYPERLINK("https://ec-qa-storage.kldlms.com/ItemGallery/08DCF9AF-E6C6-454A-89AE-1AE30DECAC6E/4D11E8E5-E041-4013-B679-3A67575EEFDB.jpg","Gallery Image ")</f>
      </c>
      <c r="W425" s="0" t="s">
        <v>22</v>
      </c>
      <c r="X425" s="0" t="s">
        <v>1720</v>
      </c>
    </row>
    <row r="426">
      <c r="A426" s="0" t="s">
        <v>1721</v>
      </c>
      <c r="B426" s="0" t="s">
        <v>1721</v>
      </c>
      <c r="C426" s="0" t="s">
        <v>1722</v>
      </c>
      <c r="D426" s="0" t="s">
        <v>27</v>
      </c>
      <c r="E426" s="0" t="s">
        <v>1668</v>
      </c>
      <c r="F426" s="0" t="s">
        <v>557</v>
      </c>
      <c r="G426" s="0" t="s">
        <v>1721</v>
      </c>
      <c r="H426" s="0" t="s">
        <v>1721</v>
      </c>
      <c r="I426" s="0" t="s">
        <v>1718</v>
      </c>
      <c r="J426" s="0" t="s">
        <v>1718</v>
      </c>
      <c r="K426" s="0" t="s">
        <v>1723</v>
      </c>
      <c r="L426" s="0" t="s">
        <v>32</v>
      </c>
      <c r="M426" s="0" t="s">
        <v>33</v>
      </c>
      <c r="N426" s="0" t="s">
        <v>32</v>
      </c>
      <c r="O426" s="0" t="s">
        <v>35</v>
      </c>
      <c r="P426" s="0" t="s">
        <v>527</v>
      </c>
      <c r="Q426" s="0" t="s">
        <v>1723</v>
      </c>
      <c r="R426" s="0" t="s">
        <v>1722</v>
      </c>
      <c r="S426" s="0" t="s">
        <v>32</v>
      </c>
      <c r="T426" s="0">
        <f>HYPERLINK("https://storage.sslt.ae/ItemVariation/08DCF9AF-E6DB-4400-8A66-EFCF214BD847/67166DC4-52F3-4DCA-9271-77C829ED8A0B.jpg","Variant Image")</f>
      </c>
      <c r="U426" s="0">
        <f>HYPERLINK("https://ec-qa-storage.kldlms.com/Item/08DCF9AF-E6DB-4400-8A66-EFCF214BD847/5133FC7D-E37C-4135-BDE1-63A0C1269334.jpg","Thumbnail Image")</f>
      </c>
      <c r="V426" s="0">
        <f>HYPERLINK("https://ec-qa-storage.kldlms.com/ItemGallery/08DCF9AF-E6DB-4400-8A66-EFCF214BD847/51730C66-20BC-46CF-89D5-931472C8DEC7.jpg","Gallery Image ")</f>
      </c>
      <c r="W426" s="0" t="s">
        <v>22</v>
      </c>
      <c r="X426" s="0" t="s">
        <v>1724</v>
      </c>
    </row>
    <row r="427">
      <c r="A427" s="0" t="s">
        <v>1725</v>
      </c>
      <c r="B427" s="0" t="s">
        <v>1725</v>
      </c>
      <c r="C427" s="0" t="s">
        <v>1726</v>
      </c>
      <c r="D427" s="0" t="s">
        <v>27</v>
      </c>
      <c r="E427" s="0" t="s">
        <v>1668</v>
      </c>
      <c r="F427" s="0" t="s">
        <v>557</v>
      </c>
      <c r="G427" s="0" t="s">
        <v>1725</v>
      </c>
      <c r="H427" s="0" t="s">
        <v>1725</v>
      </c>
      <c r="I427" s="0" t="s">
        <v>1727</v>
      </c>
      <c r="J427" s="0" t="s">
        <v>1727</v>
      </c>
      <c r="K427" s="0" t="s">
        <v>1728</v>
      </c>
      <c r="L427" s="0" t="s">
        <v>32</v>
      </c>
      <c r="M427" s="0" t="s">
        <v>33</v>
      </c>
      <c r="N427" s="0" t="s">
        <v>32</v>
      </c>
      <c r="O427" s="0" t="s">
        <v>35</v>
      </c>
      <c r="P427" s="0" t="s">
        <v>590</v>
      </c>
      <c r="Q427" s="0" t="s">
        <v>1728</v>
      </c>
      <c r="R427" s="0" t="s">
        <v>1726</v>
      </c>
      <c r="S427" s="0" t="s">
        <v>32</v>
      </c>
      <c r="T427" s="0">
        <f>HYPERLINK("https://storage.sslt.ae/ItemVariation/08DCF9AF-E6F0-474A-884C-37069E336A58/07AB209E-5841-4154-A604-77601DCCA41F.jpg","Variant Image")</f>
      </c>
      <c r="U427" s="0">
        <f>HYPERLINK("https://ec-qa-storage.kldlms.com/Item/08DCF9AF-E6F0-474A-884C-37069E336A58/52F222E1-248B-41BB-8CB5-9010556E0A1E.jpg","Thumbnail Image")</f>
      </c>
      <c r="V427" s="0">
        <f>HYPERLINK("https://ec-qa-storage.kldlms.com/ItemGallery/08DCF9AF-E6F0-474A-884C-37069E336A58/F4D266C9-0A1D-4617-A4A4-D7CF6524D4E1.jpg","Gallery Image ")</f>
      </c>
      <c r="W427" s="0" t="s">
        <v>22</v>
      </c>
      <c r="X427" s="0" t="s">
        <v>1729</v>
      </c>
    </row>
    <row r="428">
      <c r="A428" s="0" t="s">
        <v>1730</v>
      </c>
      <c r="B428" s="0" t="s">
        <v>1730</v>
      </c>
      <c r="C428" s="0" t="s">
        <v>1731</v>
      </c>
      <c r="D428" s="0" t="s">
        <v>27</v>
      </c>
      <c r="E428" s="0" t="s">
        <v>1668</v>
      </c>
      <c r="F428" s="0" t="s">
        <v>557</v>
      </c>
      <c r="G428" s="0" t="s">
        <v>1730</v>
      </c>
      <c r="H428" s="0" t="s">
        <v>1730</v>
      </c>
      <c r="I428" s="0" t="s">
        <v>1732</v>
      </c>
      <c r="J428" s="0" t="s">
        <v>1732</v>
      </c>
      <c r="K428" s="0" t="s">
        <v>1733</v>
      </c>
      <c r="L428" s="0" t="s">
        <v>32</v>
      </c>
      <c r="M428" s="0" t="s">
        <v>33</v>
      </c>
      <c r="N428" s="0" t="s">
        <v>32</v>
      </c>
      <c r="O428" s="0" t="s">
        <v>35</v>
      </c>
      <c r="P428" s="0" t="s">
        <v>527</v>
      </c>
      <c r="Q428" s="0" t="s">
        <v>1733</v>
      </c>
      <c r="R428" s="0" t="s">
        <v>1731</v>
      </c>
      <c r="S428" s="0" t="s">
        <v>32</v>
      </c>
      <c r="T428" s="0">
        <f>HYPERLINK("https://storage.sslt.ae/ItemVariation/08DCF9AF-E70C-43B7-88E6-09E0E3666999/4F5B48BD-76CA-4DA7-BDAF-2504A9F2C9BD.jpg","Variant Image")</f>
      </c>
      <c r="U428" s="0">
        <f>HYPERLINK("https://ec-qa-storage.kldlms.com/Item/08DCF9AF-E70C-43B7-88E6-09E0E3666999/A6C32A16-D5B9-43AB-899D-B974ADA18C31.jpg","Thumbnail Image")</f>
      </c>
      <c r="V428" s="0">
        <f>HYPERLINK("https://ec-qa-storage.kldlms.com/ItemGallery/08DCF9AF-E70C-43B7-88E6-09E0E3666999/BC826626-ACC1-4483-BB2A-DBE96A2D88F0.jpg","Gallery Image ")</f>
      </c>
      <c r="W428" s="0" t="s">
        <v>22</v>
      </c>
      <c r="X428" s="0" t="s">
        <v>1734</v>
      </c>
    </row>
    <row r="429">
      <c r="A429" s="0" t="s">
        <v>1735</v>
      </c>
      <c r="B429" s="0" t="s">
        <v>1735</v>
      </c>
      <c r="C429" s="0" t="s">
        <v>1736</v>
      </c>
      <c r="D429" s="0" t="s">
        <v>27</v>
      </c>
      <c r="E429" s="0" t="s">
        <v>1668</v>
      </c>
      <c r="F429" s="0" t="s">
        <v>557</v>
      </c>
      <c r="G429" s="0" t="s">
        <v>1735</v>
      </c>
      <c r="H429" s="0" t="s">
        <v>1735</v>
      </c>
      <c r="I429" s="0" t="s">
        <v>1737</v>
      </c>
      <c r="J429" s="0" t="s">
        <v>1737</v>
      </c>
      <c r="K429" s="0" t="s">
        <v>1738</v>
      </c>
      <c r="L429" s="0" t="s">
        <v>32</v>
      </c>
      <c r="M429" s="0" t="s">
        <v>33</v>
      </c>
      <c r="N429" s="0" t="s">
        <v>32</v>
      </c>
      <c r="O429" s="0" t="s">
        <v>35</v>
      </c>
      <c r="P429" s="0" t="s">
        <v>590</v>
      </c>
      <c r="Q429" s="0" t="s">
        <v>1738</v>
      </c>
      <c r="R429" s="0" t="s">
        <v>1736</v>
      </c>
      <c r="S429" s="0" t="s">
        <v>32</v>
      </c>
      <c r="T429" s="0">
        <f>HYPERLINK("https://storage.sslt.ae/ItemVariation/08DCF9AF-E721-4D83-832C-A267D09EBA22/572C2C27-C728-4E54-9D0E-FAAB4FCF58C0.jpg","Variant Image")</f>
      </c>
      <c r="U429" s="0">
        <f>HYPERLINK("https://ec-qa-storage.kldlms.com/Item/08DCF9AF-E721-4D83-832C-A267D09EBA22/4ED2D740-3C28-4909-A132-74555CDCA73E.jpg","Thumbnail Image")</f>
      </c>
      <c r="V429" s="0">
        <f>HYPERLINK("https://ec-qa-storage.kldlms.com/ItemGallery/08DCF9AF-E721-4D83-832C-A267D09EBA22/BFFBE534-528E-4A77-988E-9B6A53E0BBFA.jpg","Gallery Image ")</f>
      </c>
      <c r="W429" s="0" t="s">
        <v>22</v>
      </c>
      <c r="X429" s="0" t="s">
        <v>1739</v>
      </c>
    </row>
    <row r="430">
      <c r="A430" s="0" t="s">
        <v>1740</v>
      </c>
      <c r="B430" s="0" t="s">
        <v>1740</v>
      </c>
      <c r="C430" s="0" t="s">
        <v>1741</v>
      </c>
      <c r="D430" s="0" t="s">
        <v>27</v>
      </c>
      <c r="E430" s="0" t="s">
        <v>1668</v>
      </c>
      <c r="F430" s="0" t="s">
        <v>557</v>
      </c>
      <c r="G430" s="0" t="s">
        <v>1740</v>
      </c>
      <c r="H430" s="0" t="s">
        <v>1740</v>
      </c>
      <c r="I430" s="0" t="s">
        <v>1742</v>
      </c>
      <c r="J430" s="0" t="s">
        <v>1742</v>
      </c>
      <c r="K430" s="0" t="s">
        <v>1743</v>
      </c>
      <c r="L430" s="0" t="s">
        <v>32</v>
      </c>
      <c r="M430" s="0" t="s">
        <v>33</v>
      </c>
      <c r="N430" s="0" t="s">
        <v>32</v>
      </c>
      <c r="O430" s="0" t="s">
        <v>35</v>
      </c>
      <c r="P430" s="0" t="s">
        <v>590</v>
      </c>
      <c r="Q430" s="0" t="s">
        <v>1743</v>
      </c>
      <c r="R430" s="0" t="s">
        <v>1741</v>
      </c>
      <c r="S430" s="0" t="s">
        <v>32</v>
      </c>
      <c r="T430" s="0">
        <f>HYPERLINK("https://storage.sslt.ae/ItemVariation/08DCF9AF-E731-4E76-8052-683AE38EC567/24D24858-9170-424F-96CF-D67D4C3FDFA0.jpg","Variant Image")</f>
      </c>
      <c r="U430" s="0">
        <f>HYPERLINK("https://ec-qa-storage.kldlms.com/Item/08DCF9AF-E731-4E76-8052-683AE38EC567/53FF4456-CBDE-4975-9794-FB288A5B26FD.jpg","Thumbnail Image")</f>
      </c>
      <c r="V430" s="0">
        <f>HYPERLINK("https://ec-qa-storage.kldlms.com/ItemGallery/08DCF9AF-E731-4E76-8052-683AE38EC567/0AE42A74-AA03-4568-B8F2-8896E05EC668.jpg","Gallery Image ")</f>
      </c>
      <c r="W430" s="0" t="s">
        <v>22</v>
      </c>
      <c r="X430" s="0" t="s">
        <v>1744</v>
      </c>
    </row>
    <row r="431">
      <c r="A431" s="0" t="s">
        <v>1745</v>
      </c>
      <c r="B431" s="0" t="s">
        <v>1745</v>
      </c>
      <c r="C431" s="0" t="s">
        <v>1746</v>
      </c>
      <c r="D431" s="0" t="s">
        <v>27</v>
      </c>
      <c r="E431" s="0" t="s">
        <v>1668</v>
      </c>
      <c r="F431" s="0" t="s">
        <v>557</v>
      </c>
      <c r="G431" s="0" t="s">
        <v>1745</v>
      </c>
      <c r="H431" s="0" t="s">
        <v>1745</v>
      </c>
      <c r="I431" s="0" t="s">
        <v>1747</v>
      </c>
      <c r="J431" s="0" t="s">
        <v>1747</v>
      </c>
      <c r="K431" s="0" t="s">
        <v>1748</v>
      </c>
      <c r="L431" s="0" t="s">
        <v>32</v>
      </c>
      <c r="M431" s="0" t="s">
        <v>33</v>
      </c>
      <c r="N431" s="0" t="s">
        <v>32</v>
      </c>
      <c r="O431" s="0" t="s">
        <v>35</v>
      </c>
      <c r="P431" s="0" t="s">
        <v>527</v>
      </c>
      <c r="Q431" s="0" t="s">
        <v>1748</v>
      </c>
      <c r="R431" s="0" t="s">
        <v>1746</v>
      </c>
      <c r="S431" s="0" t="s">
        <v>32</v>
      </c>
      <c r="T431" s="0">
        <f>HYPERLINK("https://storage.sslt.ae/ItemVariation/08DCF9AF-E741-4F35-83C7-4431D0B92C53/FE0D37FA-EFCD-4184-A7D2-0ADB25E79B61.jpg","Variant Image")</f>
      </c>
      <c r="U431" s="0">
        <f>HYPERLINK("https://ec-qa-storage.kldlms.com/Item/08DCF9AF-E741-4F35-83C7-4431D0B92C53/B0ABE0EA-1A16-4E04-AB0B-DA69181C9E69.jpg","Thumbnail Image")</f>
      </c>
      <c r="V431" s="0">
        <f>HYPERLINK("https://ec-qa-storage.kldlms.com/ItemGallery/08DCF9AF-E741-4F35-83C7-4431D0B92C53/35D6874F-D374-46F7-9646-31227FE9CDD8.jpg","Gallery Image ")</f>
      </c>
      <c r="W431" s="0" t="s">
        <v>22</v>
      </c>
      <c r="X431" s="0" t="s">
        <v>1749</v>
      </c>
    </row>
    <row r="432">
      <c r="A432" s="0" t="s">
        <v>1750</v>
      </c>
      <c r="B432" s="0" t="s">
        <v>1750</v>
      </c>
      <c r="C432" s="0" t="s">
        <v>1751</v>
      </c>
      <c r="D432" s="0" t="s">
        <v>27</v>
      </c>
      <c r="E432" s="0" t="s">
        <v>1668</v>
      </c>
      <c r="F432" s="0" t="s">
        <v>557</v>
      </c>
      <c r="G432" s="0" t="s">
        <v>1750</v>
      </c>
      <c r="H432" s="0" t="s">
        <v>1750</v>
      </c>
      <c r="I432" s="0" t="s">
        <v>1752</v>
      </c>
      <c r="J432" s="0" t="s">
        <v>1752</v>
      </c>
      <c r="K432" s="0" t="s">
        <v>1753</v>
      </c>
      <c r="L432" s="0" t="s">
        <v>32</v>
      </c>
      <c r="M432" s="0" t="s">
        <v>33</v>
      </c>
      <c r="N432" s="0" t="s">
        <v>32</v>
      </c>
      <c r="O432" s="0" t="s">
        <v>35</v>
      </c>
      <c r="P432" s="0" t="s">
        <v>527</v>
      </c>
      <c r="Q432" s="0" t="s">
        <v>1753</v>
      </c>
      <c r="R432" s="0" t="s">
        <v>1751</v>
      </c>
      <c r="S432" s="0" t="s">
        <v>32</v>
      </c>
      <c r="T432" s="0">
        <f>HYPERLINK("https://storage.sslt.ae/ItemVariation/08DCF9AF-E758-4154-8A13-E58A4A571A40/10D94F06-0DB6-48CB-9E54-174ED969ED48.jpg","Variant Image")</f>
      </c>
      <c r="U432" s="0">
        <f>HYPERLINK("https://ec-qa-storage.kldlms.com/Item/08DCF9AF-E758-4154-8A13-E58A4A571A40/E1FA5B69-8423-432F-ABC9-B609A5CB2FD1.jpg","Thumbnail Image")</f>
      </c>
      <c r="V432" s="0">
        <f>HYPERLINK("https://ec-qa-storage.kldlms.com/ItemGallery/08DCF9AF-E758-4154-8A13-E58A4A571A40/11EFD88C-0E78-4463-A4D6-69DB7006E80C.jpg","Gallery Image ")</f>
      </c>
      <c r="W432" s="0" t="s">
        <v>22</v>
      </c>
      <c r="X432" s="0" t="s">
        <v>1754</v>
      </c>
    </row>
    <row r="433">
      <c r="A433" s="0" t="s">
        <v>1755</v>
      </c>
      <c r="B433" s="0" t="s">
        <v>1755</v>
      </c>
      <c r="C433" s="0" t="s">
        <v>1756</v>
      </c>
      <c r="D433" s="0" t="s">
        <v>27</v>
      </c>
      <c r="E433" s="0" t="s">
        <v>1757</v>
      </c>
      <c r="F433" s="0" t="s">
        <v>557</v>
      </c>
      <c r="G433" s="0" t="s">
        <v>1755</v>
      </c>
      <c r="H433" s="0" t="s">
        <v>1755</v>
      </c>
      <c r="I433" s="0" t="s">
        <v>1758</v>
      </c>
      <c r="J433" s="0" t="s">
        <v>1758</v>
      </c>
      <c r="K433" s="0" t="s">
        <v>1759</v>
      </c>
      <c r="L433" s="0" t="s">
        <v>32</v>
      </c>
      <c r="M433" s="0" t="s">
        <v>33</v>
      </c>
      <c r="N433" s="0" t="s">
        <v>32</v>
      </c>
      <c r="O433" s="0" t="s">
        <v>35</v>
      </c>
      <c r="P433" s="0" t="s">
        <v>1380</v>
      </c>
      <c r="Q433" s="0" t="s">
        <v>1759</v>
      </c>
      <c r="R433" s="0" t="s">
        <v>1756</v>
      </c>
      <c r="S433" s="0" t="s">
        <v>32</v>
      </c>
      <c r="T433" s="0">
        <f>HYPERLINK("https://storage.sslt.ae/ItemVariation/08DCF9AF-ECFA-47EB-8923-F5FC73F76159/F9BAC04F-2623-45AA-86DA-1BA54541237B.jpg","Variant Image")</f>
      </c>
      <c r="U433" s="0">
        <f>HYPERLINK("https://ec-qa-storage.kldlms.com/Item/08DCF9AF-ECFA-47EB-8923-F5FC73F76159/7A593858-968E-474E-A65E-545E47AD705D.jpg","Thumbnail Image")</f>
      </c>
      <c r="V433" s="0">
        <f>HYPERLINK("https://ec-qa-storage.kldlms.com/ItemGallery/08DCF9AF-ECFA-47EB-8923-F5FC73F76159/63B06E02-6D02-4BDF-83ED-D0925B4D6513.jpg","Gallery Image ")</f>
      </c>
      <c r="W433" s="0" t="s">
        <v>22</v>
      </c>
      <c r="X433" s="0" t="s">
        <v>1760</v>
      </c>
    </row>
    <row r="434">
      <c r="A434" s="0" t="s">
        <v>1761</v>
      </c>
      <c r="B434" s="0" t="s">
        <v>1761</v>
      </c>
      <c r="C434" s="0" t="s">
        <v>1762</v>
      </c>
      <c r="D434" s="0" t="s">
        <v>27</v>
      </c>
      <c r="E434" s="0" t="s">
        <v>1757</v>
      </c>
      <c r="F434" s="0" t="s">
        <v>557</v>
      </c>
      <c r="G434" s="0" t="s">
        <v>1761</v>
      </c>
      <c r="H434" s="0" t="s">
        <v>1761</v>
      </c>
      <c r="I434" s="0" t="s">
        <v>1763</v>
      </c>
      <c r="J434" s="0" t="s">
        <v>1763</v>
      </c>
      <c r="K434" s="0" t="s">
        <v>1764</v>
      </c>
      <c r="L434" s="0" t="s">
        <v>32</v>
      </c>
      <c r="M434" s="0" t="s">
        <v>33</v>
      </c>
      <c r="N434" s="0" t="s">
        <v>32</v>
      </c>
      <c r="O434" s="0" t="s">
        <v>35</v>
      </c>
      <c r="P434" s="0" t="s">
        <v>590</v>
      </c>
      <c r="Q434" s="0" t="s">
        <v>1764</v>
      </c>
      <c r="R434" s="0" t="s">
        <v>1762</v>
      </c>
      <c r="S434" s="0" t="s">
        <v>32</v>
      </c>
      <c r="T434" s="0">
        <f>HYPERLINK("https://storage.sslt.ae/ItemVariation/08DCF9AF-ED0A-4718-878B-D56575E46A2B/3B9E885B-F9BC-4F1B-8D6E-A6BEE8B132D2.jpg","Variant Image")</f>
      </c>
      <c r="U434" s="0">
        <f>HYPERLINK("https://ec-qa-storage.kldlms.com/Item/08DCF9AF-ED0A-4718-878B-D56575E46A2B/83AEB635-A51A-4F8E-A922-A14EF89E1860.jpg","Thumbnail Image")</f>
      </c>
      <c r="V434" s="0">
        <f>HYPERLINK("https://ec-qa-storage.kldlms.com/ItemGallery/08DCF9AF-ED0A-4718-878B-D56575E46A2B/0FC1A809-E0AC-4CCA-8A6B-7F7AA20E0FF0.jpg","Gallery Image ")</f>
      </c>
      <c r="W434" s="0" t="s">
        <v>22</v>
      </c>
      <c r="X434" s="0" t="s">
        <v>1765</v>
      </c>
    </row>
    <row r="435">
      <c r="A435" s="0" t="s">
        <v>1766</v>
      </c>
      <c r="B435" s="0" t="s">
        <v>1766</v>
      </c>
      <c r="C435" s="0" t="s">
        <v>1767</v>
      </c>
      <c r="D435" s="0" t="s">
        <v>27</v>
      </c>
      <c r="E435" s="0" t="s">
        <v>1757</v>
      </c>
      <c r="F435" s="0" t="s">
        <v>557</v>
      </c>
      <c r="G435" s="0" t="s">
        <v>1766</v>
      </c>
      <c r="H435" s="0" t="s">
        <v>1766</v>
      </c>
      <c r="I435" s="0" t="s">
        <v>1768</v>
      </c>
      <c r="J435" s="0" t="s">
        <v>1768</v>
      </c>
      <c r="K435" s="0" t="s">
        <v>1769</v>
      </c>
      <c r="L435" s="0" t="s">
        <v>32</v>
      </c>
      <c r="M435" s="0" t="s">
        <v>33</v>
      </c>
      <c r="N435" s="0" t="s">
        <v>32</v>
      </c>
      <c r="O435" s="0" t="s">
        <v>35</v>
      </c>
      <c r="P435" s="0" t="s">
        <v>527</v>
      </c>
      <c r="Q435" s="0" t="s">
        <v>1769</v>
      </c>
      <c r="R435" s="0" t="s">
        <v>1767</v>
      </c>
      <c r="S435" s="0" t="s">
        <v>32</v>
      </c>
      <c r="T435" s="0">
        <f>HYPERLINK("https://storage.sslt.ae/ItemVariation/08DCF9AF-ED1A-41F0-8F42-8CF206E92DF6/75886566-A9E3-4881-B364-1450EA2F8D1D.jpg","Variant Image")</f>
      </c>
      <c r="U435" s="0">
        <f>HYPERLINK("https://ec-qa-storage.kldlms.com/Item/08DCF9AF-ED1A-41F0-8F42-8CF206E92DF6/06E71452-C9A5-4186-9120-C963980C7A02.jpg","Thumbnail Image")</f>
      </c>
      <c r="V435" s="0">
        <f>HYPERLINK("https://ec-qa-storage.kldlms.com/ItemGallery/08DCF9AF-ED1A-41F0-8F42-8CF206E92DF6/4B29177E-7C03-461D-AD9D-C09743575221.jpg","Gallery Image ")</f>
      </c>
      <c r="W435" s="0" t="s">
        <v>22</v>
      </c>
      <c r="X435" s="0" t="s">
        <v>1770</v>
      </c>
    </row>
    <row r="436">
      <c r="A436" s="0" t="s">
        <v>1771</v>
      </c>
      <c r="B436" s="0" t="s">
        <v>1771</v>
      </c>
      <c r="C436" s="0" t="s">
        <v>1772</v>
      </c>
      <c r="D436" s="0" t="s">
        <v>27</v>
      </c>
      <c r="E436" s="0" t="s">
        <v>556</v>
      </c>
      <c r="F436" s="0" t="s">
        <v>557</v>
      </c>
      <c r="G436" s="0" t="s">
        <v>1771</v>
      </c>
      <c r="H436" s="0" t="s">
        <v>1771</v>
      </c>
      <c r="I436" s="0" t="s">
        <v>1773</v>
      </c>
      <c r="J436" s="0" t="s">
        <v>1773</v>
      </c>
      <c r="K436" s="0" t="s">
        <v>1774</v>
      </c>
      <c r="L436" s="0" t="s">
        <v>32</v>
      </c>
      <c r="M436" s="0" t="s">
        <v>33</v>
      </c>
      <c r="N436" s="0" t="s">
        <v>32</v>
      </c>
      <c r="O436" s="0" t="s">
        <v>35</v>
      </c>
      <c r="P436" s="0" t="s">
        <v>1380</v>
      </c>
      <c r="Q436" s="0" t="s">
        <v>1774</v>
      </c>
      <c r="R436" s="0" t="s">
        <v>1772</v>
      </c>
      <c r="S436" s="0" t="s">
        <v>32</v>
      </c>
      <c r="T436" s="0">
        <f>HYPERLINK("https://storage.sslt.ae/ItemVariation/08DCF9AF-F1EE-4DE0-87A6-F2E47AB47CE1/B7FC76B7-A5BF-4D8E-90A8-293A8E26AD07.jpg","Variant Image")</f>
      </c>
      <c r="U436" s="0">
        <f>HYPERLINK("https://ec-qa-storage.kldlms.com/Item/08DCF9AF-F1EE-4DE0-87A6-F2E47AB47CE1/FB16ED26-DC00-4711-8AD0-DB7D92300EF2.jpg","Thumbnail Image")</f>
      </c>
      <c r="V436" s="0">
        <f>HYPERLINK("https://ec-qa-storage.kldlms.com/ItemGallery/08DCF9AF-F1EE-4DE0-87A6-F2E47AB47CE1/3FAE150D-EF93-49F6-B5B6-3E32622F2B44.jpg","Gallery Image ")</f>
      </c>
      <c r="W436" s="0" t="s">
        <v>22</v>
      </c>
      <c r="X436" s="0" t="s">
        <v>1775</v>
      </c>
    </row>
    <row r="437">
      <c r="A437" s="0" t="s">
        <v>1776</v>
      </c>
      <c r="B437" s="0" t="s">
        <v>1776</v>
      </c>
      <c r="C437" s="0" t="s">
        <v>1777</v>
      </c>
      <c r="D437" s="0" t="s">
        <v>27</v>
      </c>
      <c r="E437" s="0" t="s">
        <v>556</v>
      </c>
      <c r="F437" s="0" t="s">
        <v>557</v>
      </c>
      <c r="G437" s="0" t="s">
        <v>1776</v>
      </c>
      <c r="H437" s="0" t="s">
        <v>1776</v>
      </c>
      <c r="I437" s="0" t="s">
        <v>1778</v>
      </c>
      <c r="J437" s="0" t="s">
        <v>1778</v>
      </c>
      <c r="K437" s="0" t="s">
        <v>1779</v>
      </c>
      <c r="L437" s="0" t="s">
        <v>32</v>
      </c>
      <c r="M437" s="0" t="s">
        <v>33</v>
      </c>
      <c r="N437" s="0" t="s">
        <v>32</v>
      </c>
      <c r="O437" s="0" t="s">
        <v>35</v>
      </c>
      <c r="P437" s="0" t="s">
        <v>996</v>
      </c>
      <c r="Q437" s="0" t="s">
        <v>1779</v>
      </c>
      <c r="R437" s="0" t="s">
        <v>1777</v>
      </c>
      <c r="S437" s="0" t="s">
        <v>32</v>
      </c>
      <c r="T437" s="0">
        <f>HYPERLINK("https://storage.sslt.ae/ItemVariation/08DCF9AF-F20A-4C63-8886-381E38346BAE/585C6FB7-B927-48BD-99C5-AB714DF0D524.jpg","Variant Image")</f>
      </c>
      <c r="U437" s="0">
        <f>HYPERLINK("https://ec-qa-storage.kldlms.com/Item/08DCF9AF-F20A-4C63-8886-381E38346BAE/C1204594-A6E1-44E4-A936-14D0A981DE88.jpg","Thumbnail Image")</f>
      </c>
      <c r="V437" s="0">
        <f>HYPERLINK("https://ec-qa-storage.kldlms.com/ItemGallery/08DCF9AF-F20A-4C63-8886-381E38346BAE/D8E3BD7F-6517-4204-8BAF-9B3C02CCCC10.jpg","Gallery Image ")</f>
      </c>
      <c r="W437" s="0" t="s">
        <v>22</v>
      </c>
      <c r="X437" s="0" t="s">
        <v>1780</v>
      </c>
    </row>
    <row r="438">
      <c r="A438" s="0" t="s">
        <v>1771</v>
      </c>
      <c r="B438" s="0" t="s">
        <v>1771</v>
      </c>
      <c r="C438" s="0" t="s">
        <v>1781</v>
      </c>
      <c r="D438" s="0" t="s">
        <v>27</v>
      </c>
      <c r="E438" s="0" t="s">
        <v>556</v>
      </c>
      <c r="F438" s="0" t="s">
        <v>557</v>
      </c>
      <c r="G438" s="0" t="s">
        <v>1771</v>
      </c>
      <c r="H438" s="0" t="s">
        <v>1771</v>
      </c>
      <c r="I438" s="0" t="s">
        <v>1782</v>
      </c>
      <c r="J438" s="0" t="s">
        <v>1782</v>
      </c>
      <c r="K438" s="0" t="s">
        <v>1783</v>
      </c>
      <c r="L438" s="0" t="s">
        <v>32</v>
      </c>
      <c r="M438" s="0" t="s">
        <v>33</v>
      </c>
      <c r="N438" s="0" t="s">
        <v>32</v>
      </c>
      <c r="O438" s="0" t="s">
        <v>35</v>
      </c>
      <c r="P438" s="0" t="s">
        <v>1380</v>
      </c>
      <c r="Q438" s="0" t="s">
        <v>1783</v>
      </c>
      <c r="R438" s="0" t="s">
        <v>1781</v>
      </c>
      <c r="S438" s="0" t="s">
        <v>32</v>
      </c>
      <c r="T438" s="0">
        <f>HYPERLINK("https://storage.sslt.ae/ItemVariation/08DCF9AF-F225-420D-8F4A-5F0E5037142D/90F81BED-A3E4-4AFE-93DA-C48D1420546E.jpg","Variant Image")</f>
      </c>
      <c r="U438" s="0">
        <f>HYPERLINK("https://ec-qa-storage.kldlms.com/Item/08DCF9AF-F225-420D-8F4A-5F0E5037142D/E7EA08D3-848A-4EEA-93F9-4006A8AB7173.jpg","Thumbnail Image")</f>
      </c>
      <c r="V438" s="0">
        <f>HYPERLINK("https://ec-qa-storage.kldlms.com/ItemGallery/08DCF9AF-F225-420D-8F4A-5F0E5037142D/3C78BF21-4FAE-4D97-835D-C438E610E593.jpg","Gallery Image ")</f>
      </c>
      <c r="W438" s="0" t="s">
        <v>22</v>
      </c>
      <c r="X438" s="0" t="s">
        <v>1784</v>
      </c>
    </row>
    <row r="439">
      <c r="A439" s="0" t="s">
        <v>1771</v>
      </c>
      <c r="B439" s="0" t="s">
        <v>1771</v>
      </c>
      <c r="C439" s="0" t="s">
        <v>1785</v>
      </c>
      <c r="D439" s="0" t="s">
        <v>27</v>
      </c>
      <c r="E439" s="0" t="s">
        <v>556</v>
      </c>
      <c r="F439" s="0" t="s">
        <v>557</v>
      </c>
      <c r="G439" s="0" t="s">
        <v>1771</v>
      </c>
      <c r="H439" s="0" t="s">
        <v>1771</v>
      </c>
      <c r="I439" s="0" t="s">
        <v>1786</v>
      </c>
      <c r="J439" s="0" t="s">
        <v>1786</v>
      </c>
      <c r="K439" s="0" t="s">
        <v>1787</v>
      </c>
      <c r="L439" s="0" t="s">
        <v>32</v>
      </c>
      <c r="M439" s="0" t="s">
        <v>33</v>
      </c>
      <c r="N439" s="0" t="s">
        <v>32</v>
      </c>
      <c r="O439" s="0" t="s">
        <v>35</v>
      </c>
      <c r="P439" s="0" t="s">
        <v>996</v>
      </c>
      <c r="Q439" s="0" t="s">
        <v>1787</v>
      </c>
      <c r="R439" s="0" t="s">
        <v>1785</v>
      </c>
      <c r="S439" s="0" t="s">
        <v>32</v>
      </c>
      <c r="T439" s="0">
        <f>HYPERLINK("https://storage.sslt.ae/ItemVariation/08DCF9AF-F240-44BC-89E3-1721C132E048/FC6F7033-A5A1-4F56-968F-106CF01DF6EC.jpg","Variant Image")</f>
      </c>
      <c r="U439" s="0">
        <f>HYPERLINK("https://ec-qa-storage.kldlms.com/Item/08DCF9AF-F240-44BC-89E3-1721C132E048/1DD6B8DC-A8F0-4383-BBED-23BE6DF33620.jpg","Thumbnail Image")</f>
      </c>
      <c r="V439" s="0">
        <f>HYPERLINK("https://ec-qa-storage.kldlms.com/ItemGallery/08DCF9AF-F240-44BC-89E3-1721C132E048/6B92839A-9E9C-497F-B16A-40DD8F118400.jpg","Gallery Image ")</f>
      </c>
      <c r="W439" s="0" t="s">
        <v>22</v>
      </c>
      <c r="X439" s="0" t="s">
        <v>1788</v>
      </c>
    </row>
    <row r="440">
      <c r="A440" s="0" t="s">
        <v>1789</v>
      </c>
      <c r="B440" s="0" t="s">
        <v>1789</v>
      </c>
      <c r="C440" s="0" t="s">
        <v>1790</v>
      </c>
      <c r="D440" s="0" t="s">
        <v>27</v>
      </c>
      <c r="E440" s="0" t="s">
        <v>556</v>
      </c>
      <c r="F440" s="0" t="s">
        <v>557</v>
      </c>
      <c r="G440" s="0" t="s">
        <v>1789</v>
      </c>
      <c r="H440" s="0" t="s">
        <v>1789</v>
      </c>
      <c r="I440" s="0" t="s">
        <v>1791</v>
      </c>
      <c r="J440" s="0" t="s">
        <v>1791</v>
      </c>
      <c r="K440" s="0" t="s">
        <v>1792</v>
      </c>
      <c r="L440" s="0" t="s">
        <v>32</v>
      </c>
      <c r="M440" s="0" t="s">
        <v>33</v>
      </c>
      <c r="N440" s="0" t="s">
        <v>32</v>
      </c>
      <c r="O440" s="0" t="s">
        <v>35</v>
      </c>
      <c r="P440" s="0" t="s">
        <v>527</v>
      </c>
      <c r="Q440" s="0" t="s">
        <v>1792</v>
      </c>
      <c r="R440" s="0" t="s">
        <v>1790</v>
      </c>
      <c r="S440" s="0" t="s">
        <v>32</v>
      </c>
      <c r="T440" s="0">
        <f>HYPERLINK("https://storage.sslt.ae/ItemVariation/08DCF9AF-F254-4C95-86DC-48F16147BFAB/6B50D22A-C7EB-443C-9047-8A75FB7351D8.jpg","Variant Image")</f>
      </c>
      <c r="U440" s="0">
        <f>HYPERLINK("https://ec-qa-storage.kldlms.com/Item/08DCF9AF-F254-4C95-86DC-48F16147BFAB/641E9973-110A-4B59-8B1D-D8BB55DE438B.jpg","Thumbnail Image")</f>
      </c>
      <c r="V440" s="0">
        <f>HYPERLINK("https://ec-qa-storage.kldlms.com/ItemGallery/08DCF9AF-F254-4C95-86DC-48F16147BFAB/E33C8C17-F9B4-440B-AC5E-C610EA7CB5A5.jpg","Gallery Image ")</f>
      </c>
      <c r="W440" s="0" t="s">
        <v>22</v>
      </c>
      <c r="X440" s="0" t="s">
        <v>1793</v>
      </c>
    </row>
    <row r="441">
      <c r="A441" s="0" t="s">
        <v>1794</v>
      </c>
      <c r="B441" s="0" t="s">
        <v>1794</v>
      </c>
      <c r="C441" s="0" t="s">
        <v>1795</v>
      </c>
      <c r="D441" s="0" t="s">
        <v>27</v>
      </c>
      <c r="E441" s="0" t="s">
        <v>556</v>
      </c>
      <c r="F441" s="0" t="s">
        <v>557</v>
      </c>
      <c r="G441" s="0" t="s">
        <v>1794</v>
      </c>
      <c r="H441" s="0" t="s">
        <v>1794</v>
      </c>
      <c r="I441" s="0" t="s">
        <v>1796</v>
      </c>
      <c r="J441" s="0" t="s">
        <v>1796</v>
      </c>
      <c r="K441" s="0" t="s">
        <v>1797</v>
      </c>
      <c r="L441" s="0" t="s">
        <v>32</v>
      </c>
      <c r="M441" s="0" t="s">
        <v>33</v>
      </c>
      <c r="N441" s="0" t="s">
        <v>32</v>
      </c>
      <c r="O441" s="0" t="s">
        <v>35</v>
      </c>
      <c r="P441" s="0" t="s">
        <v>527</v>
      </c>
      <c r="Q441" s="0" t="s">
        <v>1797</v>
      </c>
      <c r="R441" s="0" t="s">
        <v>1795</v>
      </c>
      <c r="S441" s="0" t="s">
        <v>32</v>
      </c>
      <c r="T441" s="0">
        <f>HYPERLINK("https://storage.sslt.ae/ItemVariation/08DCF9AF-F262-4FB2-8A99-12C71808F21B/4CBBA7FB-61B9-496D-BDB5-0CAC176B3922.jpg","Variant Image")</f>
      </c>
      <c r="U441" s="0">
        <f>HYPERLINK("https://ec-qa-storage.kldlms.com/Item/08DCF9AF-F262-4FB2-8A99-12C71808F21B/756E94BE-3A97-4BEA-BFF8-137DB96457A7.jpg","Thumbnail Image")</f>
      </c>
      <c r="V441" s="0">
        <f>HYPERLINK("https://ec-qa-storage.kldlms.com/ItemGallery/08DCF9AF-F262-4FB2-8A99-12C71808F21B/713051E1-6766-437D-9B55-BCEEAF790798.jpg","Gallery Image ")</f>
      </c>
      <c r="W441" s="0" t="s">
        <v>22</v>
      </c>
      <c r="X441" s="0" t="s">
        <v>1798</v>
      </c>
    </row>
    <row r="442">
      <c r="A442" s="0" t="s">
        <v>1799</v>
      </c>
      <c r="B442" s="0" t="s">
        <v>1799</v>
      </c>
      <c r="C442" s="0" t="s">
        <v>1800</v>
      </c>
      <c r="D442" s="0" t="s">
        <v>27</v>
      </c>
      <c r="E442" s="0" t="s">
        <v>556</v>
      </c>
      <c r="F442" s="0" t="s">
        <v>557</v>
      </c>
      <c r="G442" s="0" t="s">
        <v>1799</v>
      </c>
      <c r="H442" s="0" t="s">
        <v>1799</v>
      </c>
      <c r="I442" s="0" t="s">
        <v>1801</v>
      </c>
      <c r="J442" s="0" t="s">
        <v>1801</v>
      </c>
      <c r="K442" s="0" t="s">
        <v>1802</v>
      </c>
      <c r="L442" s="0" t="s">
        <v>32</v>
      </c>
      <c r="M442" s="0" t="s">
        <v>33</v>
      </c>
      <c r="N442" s="0" t="s">
        <v>32</v>
      </c>
      <c r="O442" s="0" t="s">
        <v>35</v>
      </c>
      <c r="P442" s="0" t="s">
        <v>527</v>
      </c>
      <c r="Q442" s="0" t="s">
        <v>1802</v>
      </c>
      <c r="R442" s="0" t="s">
        <v>1800</v>
      </c>
      <c r="S442" s="0" t="s">
        <v>32</v>
      </c>
      <c r="T442" s="0">
        <f>HYPERLINK("https://storage.sslt.ae/ItemVariation/08DCF9AF-F278-4399-8E3C-C48E44EB32FB/163F24AC-62F1-4051-AA87-5D4F83BC665E.jpg","Variant Image")</f>
      </c>
      <c r="U442" s="0">
        <f>HYPERLINK("https://ec-qa-storage.kldlms.com/Item/08DCF9AF-F278-4399-8E3C-C48E44EB32FB/8AE42019-F359-4C83-9A19-A2A1818E325F.jpg","Thumbnail Image")</f>
      </c>
      <c r="V442" s="0">
        <f>HYPERLINK("https://ec-qa-storage.kldlms.com/ItemGallery/08DCF9AF-F278-4399-8E3C-C48E44EB32FB/E6D3E017-7C51-4509-939F-426390550D5B.jpg","Gallery Image ")</f>
      </c>
      <c r="W442" s="0" t="s">
        <v>22</v>
      </c>
      <c r="X442" s="0" t="s">
        <v>1803</v>
      </c>
    </row>
    <row r="443">
      <c r="A443" s="0" t="s">
        <v>1804</v>
      </c>
      <c r="B443" s="0" t="s">
        <v>1804</v>
      </c>
      <c r="C443" s="0" t="s">
        <v>1805</v>
      </c>
      <c r="D443" s="0" t="s">
        <v>27</v>
      </c>
      <c r="E443" s="0" t="s">
        <v>556</v>
      </c>
      <c r="F443" s="0" t="s">
        <v>557</v>
      </c>
      <c r="G443" s="0" t="s">
        <v>1804</v>
      </c>
      <c r="H443" s="0" t="s">
        <v>1804</v>
      </c>
      <c r="I443" s="0" t="s">
        <v>1806</v>
      </c>
      <c r="J443" s="0" t="s">
        <v>1806</v>
      </c>
      <c r="K443" s="0" t="s">
        <v>1807</v>
      </c>
      <c r="L443" s="0" t="s">
        <v>32</v>
      </c>
      <c r="M443" s="0" t="s">
        <v>33</v>
      </c>
      <c r="N443" s="0" t="s">
        <v>32</v>
      </c>
      <c r="O443" s="0" t="s">
        <v>35</v>
      </c>
      <c r="P443" s="0" t="s">
        <v>1380</v>
      </c>
      <c r="Q443" s="0" t="s">
        <v>1807</v>
      </c>
      <c r="R443" s="0" t="s">
        <v>1805</v>
      </c>
      <c r="S443" s="0" t="s">
        <v>32</v>
      </c>
      <c r="T443" s="0">
        <f>HYPERLINK("https://storage.sslt.ae/ItemVariation/08DCF9AF-F287-4126-8026-A2B89D90FDA2/49C9E1AB-49D1-4468-8CAE-DFE24F4038A8.jpg","Variant Image")</f>
      </c>
      <c r="U443" s="0">
        <f>HYPERLINK("https://ec-qa-storage.kldlms.com/Item/08DCF9AF-F287-4126-8026-A2B89D90FDA2/69817C91-A4C9-40B6-8B98-4D112816F587.jpg","Thumbnail Image")</f>
      </c>
      <c r="V443" s="0">
        <f>HYPERLINK("https://ec-qa-storage.kldlms.com/ItemGallery/08DCF9AF-F287-4126-8026-A2B89D90FDA2/622EA9AE-4845-45EE-A93D-24B417BA2B90.jpg","Gallery Image ")</f>
      </c>
      <c r="W443" s="0" t="s">
        <v>22</v>
      </c>
      <c r="X443" s="0" t="s">
        <v>1808</v>
      </c>
    </row>
    <row r="444">
      <c r="A444" s="0" t="s">
        <v>1809</v>
      </c>
      <c r="B444" s="0" t="s">
        <v>1809</v>
      </c>
      <c r="C444" s="0" t="s">
        <v>1810</v>
      </c>
      <c r="D444" s="0" t="s">
        <v>27</v>
      </c>
      <c r="E444" s="0" t="s">
        <v>556</v>
      </c>
      <c r="F444" s="0" t="s">
        <v>557</v>
      </c>
      <c r="G444" s="0" t="s">
        <v>1809</v>
      </c>
      <c r="H444" s="0" t="s">
        <v>1809</v>
      </c>
      <c r="I444" s="0" t="s">
        <v>1811</v>
      </c>
      <c r="J444" s="0" t="s">
        <v>1811</v>
      </c>
      <c r="K444" s="0" t="s">
        <v>1812</v>
      </c>
      <c r="L444" s="0" t="s">
        <v>32</v>
      </c>
      <c r="M444" s="0" t="s">
        <v>33</v>
      </c>
      <c r="N444" s="0" t="s">
        <v>32</v>
      </c>
      <c r="O444" s="0" t="s">
        <v>35</v>
      </c>
      <c r="P444" s="0" t="s">
        <v>1380</v>
      </c>
      <c r="Q444" s="0" t="s">
        <v>1812</v>
      </c>
      <c r="R444" s="0" t="s">
        <v>1810</v>
      </c>
      <c r="S444" s="0" t="s">
        <v>32</v>
      </c>
      <c r="T444" s="0">
        <f>HYPERLINK("https://storage.sslt.ae/ItemVariation/08DCF9AF-F29B-4F21-8CFE-E421D78DEEA2/ACBFE2C5-B58C-482F-A3C3-F0B4175368B6.jpg","Variant Image")</f>
      </c>
      <c r="U444" s="0">
        <f>HYPERLINK("https://ec-qa-storage.kldlms.com/Item/08DCF9AF-F29B-4F21-8CFE-E421D78DEEA2/42998668-0507-4ABB-B7FE-52AB278BF28F.jpg","Thumbnail Image")</f>
      </c>
      <c r="V444" s="0">
        <f>HYPERLINK("https://ec-qa-storage.kldlms.com/ItemGallery/08DCF9AF-F29B-4F21-8CFE-E421D78DEEA2/450EF2C8-899D-4672-AB4C-E89275C57774.jpg","Gallery Image ")</f>
      </c>
      <c r="W444" s="0" t="s">
        <v>22</v>
      </c>
      <c r="X444" s="0" t="s">
        <v>1813</v>
      </c>
    </row>
    <row r="445">
      <c r="A445" s="0" t="s">
        <v>1814</v>
      </c>
      <c r="B445" s="0" t="s">
        <v>1814</v>
      </c>
      <c r="C445" s="0" t="s">
        <v>1815</v>
      </c>
      <c r="D445" s="0" t="s">
        <v>27</v>
      </c>
      <c r="E445" s="0" t="s">
        <v>556</v>
      </c>
      <c r="F445" s="0" t="s">
        <v>557</v>
      </c>
      <c r="G445" s="0" t="s">
        <v>1814</v>
      </c>
      <c r="H445" s="0" t="s">
        <v>1814</v>
      </c>
      <c r="I445" s="0" t="s">
        <v>1816</v>
      </c>
      <c r="J445" s="0" t="s">
        <v>1816</v>
      </c>
      <c r="K445" s="0" t="s">
        <v>1817</v>
      </c>
      <c r="L445" s="0" t="s">
        <v>32</v>
      </c>
      <c r="M445" s="0" t="s">
        <v>33</v>
      </c>
      <c r="N445" s="0" t="s">
        <v>32</v>
      </c>
      <c r="O445" s="0" t="s">
        <v>35</v>
      </c>
      <c r="P445" s="0" t="s">
        <v>1380</v>
      </c>
      <c r="Q445" s="0" t="s">
        <v>1817</v>
      </c>
      <c r="R445" s="0" t="s">
        <v>1815</v>
      </c>
      <c r="S445" s="0" t="s">
        <v>32</v>
      </c>
      <c r="T445" s="0">
        <f>HYPERLINK("https://storage.sslt.ae/ItemVariation/08DCF9AF-F2AB-4357-8A82-1D9954A033C7/91A038A4-EE3A-459F-925D-75E364D21116.jpg","Variant Image")</f>
      </c>
      <c r="U445" s="0">
        <f>HYPERLINK("https://ec-qa-storage.kldlms.com/Item/08DCF9AF-F2AB-4357-8A82-1D9954A033C7/E89ADA3D-2865-4E51-B47E-36E81DD1A563.jpg","Thumbnail Image")</f>
      </c>
      <c r="V445" s="0">
        <f>HYPERLINK("https://ec-qa-storage.kldlms.com/ItemGallery/08DCF9AF-F2AB-4357-8A82-1D9954A033C7/9111EC29-A7A2-455A-BE90-6338B907974D.jpg","Gallery Image ")</f>
      </c>
      <c r="W445" s="0" t="s">
        <v>22</v>
      </c>
      <c r="X445" s="0" t="s">
        <v>1818</v>
      </c>
    </row>
    <row r="446">
      <c r="A446" s="0" t="s">
        <v>1819</v>
      </c>
      <c r="B446" s="0" t="s">
        <v>1819</v>
      </c>
      <c r="C446" s="0" t="s">
        <v>1820</v>
      </c>
      <c r="D446" s="0" t="s">
        <v>27</v>
      </c>
      <c r="E446" s="0" t="s">
        <v>556</v>
      </c>
      <c r="F446" s="0" t="s">
        <v>557</v>
      </c>
      <c r="G446" s="0" t="s">
        <v>1819</v>
      </c>
      <c r="H446" s="0" t="s">
        <v>1819</v>
      </c>
      <c r="I446" s="0" t="s">
        <v>1821</v>
      </c>
      <c r="J446" s="0" t="s">
        <v>1821</v>
      </c>
      <c r="K446" s="0" t="s">
        <v>1822</v>
      </c>
      <c r="L446" s="0" t="s">
        <v>32</v>
      </c>
      <c r="M446" s="0" t="s">
        <v>33</v>
      </c>
      <c r="N446" s="0" t="s">
        <v>32</v>
      </c>
      <c r="O446" s="0" t="s">
        <v>35</v>
      </c>
      <c r="P446" s="0" t="s">
        <v>1380</v>
      </c>
      <c r="Q446" s="0" t="s">
        <v>1822</v>
      </c>
      <c r="R446" s="0" t="s">
        <v>1820</v>
      </c>
      <c r="S446" s="0" t="s">
        <v>32</v>
      </c>
      <c r="T446" s="0">
        <f>HYPERLINK("https://storage.sslt.ae/ItemVariation/08DCF9AF-F2BA-4627-8CBD-5B849B2137F9/0981B53E-CA9F-4097-88AF-B80032C8B03B.jpg","Variant Image")</f>
      </c>
      <c r="U446" s="0">
        <f>HYPERLINK("https://ec-qa-storage.kldlms.com/Item/08DCF9AF-F2BA-4627-8CBD-5B849B2137F9/901B96EB-4B3B-4E9D-A501-0A09509E242E.jpg","Thumbnail Image")</f>
      </c>
      <c r="V446" s="0">
        <f>HYPERLINK("https://ec-qa-storage.kldlms.com/ItemGallery/08DCF9AF-F2BA-4627-8CBD-5B849B2137F9/15E41543-645E-4140-8C06-8A9F79BA1B7B.jpg","Gallery Image ")</f>
      </c>
      <c r="W446" s="0" t="s">
        <v>22</v>
      </c>
      <c r="X446" s="0" t="s">
        <v>1823</v>
      </c>
    </row>
    <row r="447">
      <c r="A447" s="0" t="s">
        <v>1824</v>
      </c>
      <c r="B447" s="0" t="s">
        <v>1824</v>
      </c>
      <c r="C447" s="0" t="s">
        <v>1825</v>
      </c>
      <c r="D447" s="0" t="s">
        <v>27</v>
      </c>
      <c r="E447" s="0" t="s">
        <v>556</v>
      </c>
      <c r="F447" s="0" t="s">
        <v>557</v>
      </c>
      <c r="G447" s="0" t="s">
        <v>1824</v>
      </c>
      <c r="H447" s="0" t="s">
        <v>1824</v>
      </c>
      <c r="I447" s="0" t="s">
        <v>1826</v>
      </c>
      <c r="J447" s="0" t="s">
        <v>1826</v>
      </c>
      <c r="K447" s="0" t="s">
        <v>1827</v>
      </c>
      <c r="L447" s="0" t="s">
        <v>32</v>
      </c>
      <c r="M447" s="0" t="s">
        <v>33</v>
      </c>
      <c r="N447" s="0" t="s">
        <v>32</v>
      </c>
      <c r="O447" s="0" t="s">
        <v>35</v>
      </c>
      <c r="P447" s="0" t="s">
        <v>1380</v>
      </c>
      <c r="Q447" s="0" t="s">
        <v>1827</v>
      </c>
      <c r="R447" s="0" t="s">
        <v>1825</v>
      </c>
      <c r="S447" s="0" t="s">
        <v>32</v>
      </c>
      <c r="T447" s="0">
        <f>HYPERLINK("https://storage.sslt.ae/ItemVariation/08DCF9AF-F2C9-41EA-81ED-18F8D5274996/5D4A314E-052C-440F-8A47-47D657EB56B3.jpg","Variant Image")</f>
      </c>
      <c r="U447" s="0">
        <f>HYPERLINK("https://ec-qa-storage.kldlms.com/Item/08DCF9AF-F2C9-41EA-81ED-18F8D5274996/8372DC1A-2DDE-463E-9D37-DA12178853C7.jpg","Thumbnail Image")</f>
      </c>
      <c r="V447" s="0">
        <f>HYPERLINK("https://ec-qa-storage.kldlms.com/ItemGallery/08DCF9AF-F2C9-41EA-81ED-18F8D5274996/A96C6DAF-7E0D-4885-8A77-24FE55259EA8.jpg","Gallery Image ")</f>
      </c>
      <c r="W447" s="0" t="s">
        <v>22</v>
      </c>
      <c r="X447" s="0" t="s">
        <v>1828</v>
      </c>
    </row>
    <row r="448">
      <c r="A448" s="0" t="s">
        <v>1829</v>
      </c>
      <c r="B448" s="0" t="s">
        <v>1829</v>
      </c>
      <c r="C448" s="0" t="s">
        <v>1830</v>
      </c>
      <c r="D448" s="0" t="s">
        <v>27</v>
      </c>
      <c r="E448" s="0" t="s">
        <v>556</v>
      </c>
      <c r="F448" s="0" t="s">
        <v>557</v>
      </c>
      <c r="G448" s="0" t="s">
        <v>1829</v>
      </c>
      <c r="H448" s="0" t="s">
        <v>1829</v>
      </c>
      <c r="I448" s="0" t="s">
        <v>1831</v>
      </c>
      <c r="J448" s="0" t="s">
        <v>1831</v>
      </c>
      <c r="K448" s="0" t="s">
        <v>1832</v>
      </c>
      <c r="L448" s="0" t="s">
        <v>32</v>
      </c>
      <c r="M448" s="0" t="s">
        <v>33</v>
      </c>
      <c r="N448" s="0" t="s">
        <v>32</v>
      </c>
      <c r="O448" s="0" t="s">
        <v>35</v>
      </c>
      <c r="P448" s="0" t="s">
        <v>1323</v>
      </c>
      <c r="Q448" s="0" t="s">
        <v>1832</v>
      </c>
      <c r="R448" s="0" t="s">
        <v>1830</v>
      </c>
      <c r="S448" s="0" t="s">
        <v>32</v>
      </c>
      <c r="T448" s="0">
        <f>HYPERLINK("https://storage.sslt.ae/ItemVariation/08DCF9AF-F2D2-421D-89FB-B6210D6F7961/2B1463B3-A02A-4ECD-8F0B-C7642F9357ED.jpg","Variant Image")</f>
      </c>
      <c r="U448" s="0">
        <f>HYPERLINK("https://ec-qa-storage.kldlms.com/Item/08DCF9AF-F2D2-421D-89FB-B6210D6F7961/101D8137-AF8D-4817-B5B6-58B41DEF83DB.jpg","Thumbnail Image")</f>
      </c>
      <c r="V448" s="0">
        <f>HYPERLINK("https://ec-qa-storage.kldlms.com/ItemGallery/08DCF9AF-F2D2-421D-89FB-B6210D6F7961/91B66FF1-9512-48CA-A059-6AAF803FA7EF.jpg","Gallery Image ")</f>
      </c>
      <c r="W448" s="0" t="s">
        <v>22</v>
      </c>
      <c r="X448" s="0" t="s">
        <v>1833</v>
      </c>
    </row>
    <row r="449">
      <c r="A449" s="0" t="s">
        <v>1834</v>
      </c>
      <c r="B449" s="0" t="s">
        <v>1834</v>
      </c>
      <c r="C449" s="0" t="s">
        <v>1835</v>
      </c>
      <c r="D449" s="0" t="s">
        <v>27</v>
      </c>
      <c r="E449" s="0" t="s">
        <v>556</v>
      </c>
      <c r="F449" s="0" t="s">
        <v>557</v>
      </c>
      <c r="G449" s="0" t="s">
        <v>1834</v>
      </c>
      <c r="H449" s="0" t="s">
        <v>1834</v>
      </c>
      <c r="I449" s="0" t="s">
        <v>1836</v>
      </c>
      <c r="J449" s="0" t="s">
        <v>1836</v>
      </c>
      <c r="K449" s="0" t="s">
        <v>1837</v>
      </c>
      <c r="L449" s="0" t="s">
        <v>32</v>
      </c>
      <c r="M449" s="0" t="s">
        <v>33</v>
      </c>
      <c r="N449" s="0" t="s">
        <v>32</v>
      </c>
      <c r="O449" s="0" t="s">
        <v>35</v>
      </c>
      <c r="P449" s="0" t="s">
        <v>1323</v>
      </c>
      <c r="Q449" s="0" t="s">
        <v>1837</v>
      </c>
      <c r="R449" s="0" t="s">
        <v>1835</v>
      </c>
      <c r="S449" s="0" t="s">
        <v>32</v>
      </c>
      <c r="T449" s="0">
        <f>HYPERLINK("https://storage.sslt.ae/ItemVariation/08DCF9AF-F2DB-4BAC-841E-286B4E53F2D1/C54A114C-63A1-4A3E-AE68-CAC5A72C977E.jpg","Variant Image")</f>
      </c>
      <c r="U449" s="0">
        <f>HYPERLINK("https://ec-qa-storage.kldlms.com/Item/08DCF9AF-F2DB-4BAC-841E-286B4E53F2D1/91C5BF3B-9F55-469D-A5F4-5586B254844D.jpg","Thumbnail Image")</f>
      </c>
      <c r="V449" s="0">
        <f>HYPERLINK("https://ec-qa-storage.kldlms.com/ItemGallery/08DCF9AF-F2DB-4BAC-841E-286B4E53F2D1/F54F557E-7FF3-4E40-9640-B4EB21D67DE4.jpg","Gallery Image ")</f>
      </c>
      <c r="W449" s="0" t="s">
        <v>22</v>
      </c>
      <c r="X449" s="0" t="s">
        <v>1838</v>
      </c>
    </row>
    <row r="450">
      <c r="A450" s="0" t="s">
        <v>1839</v>
      </c>
      <c r="B450" s="0" t="s">
        <v>1839</v>
      </c>
      <c r="C450" s="0" t="s">
        <v>1840</v>
      </c>
      <c r="D450" s="0" t="s">
        <v>27</v>
      </c>
      <c r="E450" s="0" t="s">
        <v>556</v>
      </c>
      <c r="F450" s="0" t="s">
        <v>557</v>
      </c>
      <c r="G450" s="0" t="s">
        <v>1839</v>
      </c>
      <c r="H450" s="0" t="s">
        <v>1839</v>
      </c>
      <c r="I450" s="0" t="s">
        <v>1841</v>
      </c>
      <c r="J450" s="0" t="s">
        <v>1841</v>
      </c>
      <c r="K450" s="0" t="s">
        <v>1842</v>
      </c>
      <c r="L450" s="0" t="s">
        <v>32</v>
      </c>
      <c r="M450" s="0" t="s">
        <v>33</v>
      </c>
      <c r="N450" s="0" t="s">
        <v>32</v>
      </c>
      <c r="O450" s="0" t="s">
        <v>35</v>
      </c>
      <c r="P450" s="0" t="s">
        <v>1323</v>
      </c>
      <c r="Q450" s="0" t="s">
        <v>1842</v>
      </c>
      <c r="R450" s="0" t="s">
        <v>1840</v>
      </c>
      <c r="S450" s="0" t="s">
        <v>32</v>
      </c>
      <c r="T450" s="0">
        <f>HYPERLINK("https://storage.sslt.ae/ItemVariation/08DCF9AF-F2E4-424F-8EA6-C785628B9C48/D052EC96-BCED-4DD1-A382-9AA44F30DD12.jpg","Variant Image")</f>
      </c>
      <c r="U450" s="0">
        <f>HYPERLINK("https://ec-qa-storage.kldlms.com/Item/08DCF9AF-F2E4-424F-8EA6-C785628B9C48/6D637A08-7E29-4797-AB58-A2736C6DB93E.jpg","Thumbnail Image")</f>
      </c>
      <c r="V450" s="0">
        <f>HYPERLINK("https://ec-qa-storage.kldlms.com/ItemGallery/08DCF9AF-F2E4-424F-8EA6-C785628B9C48/D709821D-B06F-4797-BF57-1CED0B700AE4.jpg","Gallery Image ")</f>
      </c>
      <c r="W450" s="0" t="s">
        <v>22</v>
      </c>
      <c r="X450" s="0" t="s">
        <v>1843</v>
      </c>
    </row>
    <row r="451">
      <c r="A451" s="0" t="s">
        <v>1844</v>
      </c>
      <c r="B451" s="0" t="s">
        <v>1844</v>
      </c>
      <c r="C451" s="0" t="s">
        <v>1845</v>
      </c>
      <c r="D451" s="0" t="s">
        <v>27</v>
      </c>
      <c r="E451" s="0" t="s">
        <v>556</v>
      </c>
      <c r="F451" s="0" t="s">
        <v>557</v>
      </c>
      <c r="G451" s="0" t="s">
        <v>1844</v>
      </c>
      <c r="H451" s="0" t="s">
        <v>1844</v>
      </c>
      <c r="I451" s="0" t="s">
        <v>1846</v>
      </c>
      <c r="J451" s="0" t="s">
        <v>1846</v>
      </c>
      <c r="K451" s="0" t="s">
        <v>1847</v>
      </c>
      <c r="L451" s="0" t="s">
        <v>32</v>
      </c>
      <c r="M451" s="0" t="s">
        <v>33</v>
      </c>
      <c r="N451" s="0" t="s">
        <v>32</v>
      </c>
      <c r="O451" s="0" t="s">
        <v>35</v>
      </c>
      <c r="P451" s="0" t="s">
        <v>1380</v>
      </c>
      <c r="Q451" s="0" t="s">
        <v>1847</v>
      </c>
      <c r="R451" s="0" t="s">
        <v>1845</v>
      </c>
      <c r="S451" s="0" t="s">
        <v>32</v>
      </c>
      <c r="T451" s="0">
        <f>HYPERLINK("https://storage.sslt.ae/ItemVariation/08DCF9AF-F2EC-4FFD-8876-61CA5A5F4969/D25A1EE8-963C-4882-BBFE-31EEFE11F5C6.jpg","Variant Image")</f>
      </c>
      <c r="U451" s="0">
        <f>HYPERLINK("https://ec-qa-storage.kldlms.com/Item/08DCF9AF-F2EC-4FFD-8876-61CA5A5F4969/BD365B5B-AADF-4A28-BF1E-A3D05430960D.jpg","Thumbnail Image")</f>
      </c>
      <c r="V451" s="0">
        <f>HYPERLINK("https://ec-qa-storage.kldlms.com/ItemGallery/08DCF9AF-F2EC-4FFD-8876-61CA5A5F4969/9C65A73B-4C96-4956-9A3E-84A6F109C439.jpg","Gallery Image ")</f>
      </c>
      <c r="W451" s="0" t="s">
        <v>22</v>
      </c>
      <c r="X451" s="0" t="s">
        <v>1848</v>
      </c>
    </row>
    <row r="452">
      <c r="A452" s="0" t="s">
        <v>1849</v>
      </c>
      <c r="B452" s="0" t="s">
        <v>1849</v>
      </c>
      <c r="C452" s="0" t="s">
        <v>1850</v>
      </c>
      <c r="D452" s="0" t="s">
        <v>27</v>
      </c>
      <c r="E452" s="0" t="s">
        <v>556</v>
      </c>
      <c r="F452" s="0" t="s">
        <v>557</v>
      </c>
      <c r="G452" s="0" t="s">
        <v>1849</v>
      </c>
      <c r="H452" s="0" t="s">
        <v>1849</v>
      </c>
      <c r="I452" s="0" t="s">
        <v>1851</v>
      </c>
      <c r="J452" s="0" t="s">
        <v>1851</v>
      </c>
      <c r="K452" s="0" t="s">
        <v>1852</v>
      </c>
      <c r="L452" s="0" t="s">
        <v>32</v>
      </c>
      <c r="M452" s="0" t="s">
        <v>33</v>
      </c>
      <c r="N452" s="0" t="s">
        <v>32</v>
      </c>
      <c r="O452" s="0" t="s">
        <v>35</v>
      </c>
      <c r="P452" s="0" t="s">
        <v>1323</v>
      </c>
      <c r="Q452" s="0" t="s">
        <v>1852</v>
      </c>
      <c r="R452" s="0" t="s">
        <v>1850</v>
      </c>
      <c r="S452" s="0" t="s">
        <v>32</v>
      </c>
      <c r="T452" s="0">
        <f>HYPERLINK("https://storage.sslt.ae/ItemVariation/08DCF9AF-F2F6-448B-8676-4852CF74F983/1990C1AC-4917-49B2-9B86-2561A44CB3F5.jpg","Variant Image")</f>
      </c>
      <c r="U452" s="0">
        <f>HYPERLINK("https://ec-qa-storage.kldlms.com/Item/08DCF9AF-F2F6-448B-8676-4852CF74F983/EA67906B-FAAA-4906-BF4E-A04D9517D92F.jpg","Thumbnail Image")</f>
      </c>
      <c r="V452" s="0">
        <f>HYPERLINK("https://ec-qa-storage.kldlms.com/ItemGallery/08DCF9AF-F2F6-448B-8676-4852CF74F983/A3460A7C-8E9E-42B4-B84E-9F0AE1AC407A.jpg","Gallery Image ")</f>
      </c>
      <c r="W452" s="0" t="s">
        <v>22</v>
      </c>
      <c r="X452" s="0" t="s">
        <v>1853</v>
      </c>
    </row>
    <row r="453">
      <c r="A453" s="0" t="s">
        <v>1854</v>
      </c>
      <c r="B453" s="0" t="s">
        <v>1854</v>
      </c>
      <c r="C453" s="0" t="s">
        <v>1855</v>
      </c>
      <c r="D453" s="0" t="s">
        <v>27</v>
      </c>
      <c r="E453" s="0" t="s">
        <v>556</v>
      </c>
      <c r="F453" s="0" t="s">
        <v>557</v>
      </c>
      <c r="G453" s="0" t="s">
        <v>1854</v>
      </c>
      <c r="H453" s="0" t="s">
        <v>1854</v>
      </c>
      <c r="I453" s="0" t="s">
        <v>1856</v>
      </c>
      <c r="J453" s="0" t="s">
        <v>1856</v>
      </c>
      <c r="K453" s="0" t="s">
        <v>1857</v>
      </c>
      <c r="L453" s="0" t="s">
        <v>32</v>
      </c>
      <c r="M453" s="0" t="s">
        <v>33</v>
      </c>
      <c r="N453" s="0" t="s">
        <v>32</v>
      </c>
      <c r="O453" s="0" t="s">
        <v>35</v>
      </c>
      <c r="P453" s="0" t="s">
        <v>1323</v>
      </c>
      <c r="Q453" s="0" t="s">
        <v>1857</v>
      </c>
      <c r="R453" s="0" t="s">
        <v>1855</v>
      </c>
      <c r="S453" s="0" t="s">
        <v>32</v>
      </c>
      <c r="T453" s="0">
        <f>HYPERLINK("https://storage.sslt.ae/ItemVariation/08DCF9AF-F2FF-4675-8810-64739FC1875A/0857F4C8-AE98-44B7-8635-F7A37A400AC1.jpg","Variant Image")</f>
      </c>
      <c r="U453" s="0">
        <f>HYPERLINK("https://ec-qa-storage.kldlms.com/Item/08DCF9AF-F2FF-4675-8810-64739FC1875A/6F337699-345C-47BE-9A87-05190C949D5D.jpg","Thumbnail Image")</f>
      </c>
      <c r="V453" s="0">
        <f>HYPERLINK("https://ec-qa-storage.kldlms.com/ItemGallery/08DCF9AF-F2FF-4675-8810-64739FC1875A/CB43A991-2561-4DCC-9A73-5C92C64ED3E3.jpg","Gallery Image ")</f>
      </c>
      <c r="W453" s="0" t="s">
        <v>22</v>
      </c>
      <c r="X453" s="0" t="s">
        <v>1858</v>
      </c>
    </row>
    <row r="454">
      <c r="A454" s="0" t="s">
        <v>1859</v>
      </c>
      <c r="B454" s="0" t="s">
        <v>1859</v>
      </c>
      <c r="C454" s="0" t="s">
        <v>1860</v>
      </c>
      <c r="D454" s="0" t="s">
        <v>27</v>
      </c>
      <c r="E454" s="0" t="s">
        <v>556</v>
      </c>
      <c r="F454" s="0" t="s">
        <v>557</v>
      </c>
      <c r="G454" s="0" t="s">
        <v>1859</v>
      </c>
      <c r="H454" s="0" t="s">
        <v>1859</v>
      </c>
      <c r="I454" s="0" t="s">
        <v>1861</v>
      </c>
      <c r="J454" s="0" t="s">
        <v>1861</v>
      </c>
      <c r="K454" s="0" t="s">
        <v>1862</v>
      </c>
      <c r="L454" s="0" t="s">
        <v>32</v>
      </c>
      <c r="M454" s="0" t="s">
        <v>33</v>
      </c>
      <c r="N454" s="0" t="s">
        <v>32</v>
      </c>
      <c r="O454" s="0" t="s">
        <v>35</v>
      </c>
      <c r="P454" s="0" t="s">
        <v>1863</v>
      </c>
      <c r="Q454" s="0" t="s">
        <v>1862</v>
      </c>
      <c r="R454" s="0" t="s">
        <v>1860</v>
      </c>
      <c r="S454" s="0" t="s">
        <v>32</v>
      </c>
      <c r="T454" s="0">
        <f>HYPERLINK("https://storage.sslt.ae/ItemVariation/08DCF9AF-F309-46CF-8E91-E79B6F0A1BD3/1E76690A-CBC4-45D9-81D8-5A5CADBE5917.jpg","Variant Image")</f>
      </c>
      <c r="U454" s="0">
        <f>HYPERLINK("https://ec-qa-storage.kldlms.com/Item/08DCF9AF-F309-46CF-8E91-E79B6F0A1BD3/4E477AF6-17FD-4DDD-BD70-9A7D226F8221.jpg","Thumbnail Image")</f>
      </c>
      <c r="V454" s="0">
        <f>HYPERLINK("https://ec-qa-storage.kldlms.com/ItemGallery/08DCF9AF-F309-46CF-8E91-E79B6F0A1BD3/378C86C9-04A1-4388-9077-83DBF631270C.jpg","Gallery Image ")</f>
      </c>
      <c r="W454" s="0" t="s">
        <v>22</v>
      </c>
      <c r="X454" s="0" t="s">
        <v>1864</v>
      </c>
    </row>
    <row r="455">
      <c r="A455" s="0" t="s">
        <v>1859</v>
      </c>
      <c r="B455" s="0" t="s">
        <v>1859</v>
      </c>
      <c r="C455" s="0" t="s">
        <v>1865</v>
      </c>
      <c r="D455" s="0" t="s">
        <v>27</v>
      </c>
      <c r="E455" s="0" t="s">
        <v>556</v>
      </c>
      <c r="F455" s="0" t="s">
        <v>557</v>
      </c>
      <c r="G455" s="0" t="s">
        <v>1859</v>
      </c>
      <c r="H455" s="0" t="s">
        <v>1859</v>
      </c>
      <c r="I455" s="0" t="s">
        <v>1866</v>
      </c>
      <c r="J455" s="0" t="s">
        <v>1866</v>
      </c>
      <c r="K455" s="0" t="s">
        <v>1867</v>
      </c>
      <c r="L455" s="0" t="s">
        <v>32</v>
      </c>
      <c r="M455" s="0" t="s">
        <v>33</v>
      </c>
      <c r="N455" s="0" t="s">
        <v>32</v>
      </c>
      <c r="O455" s="0" t="s">
        <v>35</v>
      </c>
      <c r="P455" s="0" t="s">
        <v>590</v>
      </c>
      <c r="Q455" s="0" t="s">
        <v>1867</v>
      </c>
      <c r="R455" s="0" t="s">
        <v>1865</v>
      </c>
      <c r="S455" s="0" t="s">
        <v>32</v>
      </c>
      <c r="T455" s="0">
        <f>HYPERLINK("https://storage.sslt.ae/ItemVariation/08DCF9AF-F312-4876-8187-D798CCCF6C3C/286D2DC6-82F2-434B-8D76-05900804FA8B.jpg","Variant Image")</f>
      </c>
      <c r="U455" s="0">
        <f>HYPERLINK("https://ec-qa-storage.kldlms.com/Item/08DCF9AF-F312-4876-8187-D798CCCF6C3C/1272EF99-31CB-43C5-9EAF-A494D2ADACF5.jpg","Thumbnail Image")</f>
      </c>
      <c r="V455" s="0">
        <f>HYPERLINK("https://ec-qa-storage.kldlms.com/ItemGallery/08DCF9AF-F312-4876-8187-D798CCCF6C3C/9A6CE7F7-7950-4ACD-B3A8-FD21B924B143.jpg","Gallery Image ")</f>
      </c>
      <c r="W455" s="0" t="s">
        <v>22</v>
      </c>
      <c r="X455" s="0" t="s">
        <v>1868</v>
      </c>
    </row>
    <row r="456">
      <c r="A456" s="0" t="s">
        <v>1869</v>
      </c>
      <c r="B456" s="0" t="s">
        <v>1869</v>
      </c>
      <c r="C456" s="0" t="s">
        <v>1870</v>
      </c>
      <c r="D456" s="0" t="s">
        <v>27</v>
      </c>
      <c r="E456" s="0" t="s">
        <v>556</v>
      </c>
      <c r="F456" s="0" t="s">
        <v>557</v>
      </c>
      <c r="G456" s="0" t="s">
        <v>1869</v>
      </c>
      <c r="H456" s="0" t="s">
        <v>1869</v>
      </c>
      <c r="I456" s="0" t="s">
        <v>1871</v>
      </c>
      <c r="J456" s="0" t="s">
        <v>1871</v>
      </c>
      <c r="K456" s="0" t="s">
        <v>1872</v>
      </c>
      <c r="L456" s="0" t="s">
        <v>32</v>
      </c>
      <c r="M456" s="0" t="s">
        <v>33</v>
      </c>
      <c r="N456" s="0" t="s">
        <v>32</v>
      </c>
      <c r="O456" s="0" t="s">
        <v>35</v>
      </c>
      <c r="P456" s="0" t="s">
        <v>590</v>
      </c>
      <c r="Q456" s="0" t="s">
        <v>1872</v>
      </c>
      <c r="R456" s="0" t="s">
        <v>1870</v>
      </c>
      <c r="S456" s="0" t="s">
        <v>32</v>
      </c>
      <c r="T456" s="0">
        <f>HYPERLINK("https://storage.sslt.ae/ItemVariation/08DCF9AF-F31B-471A-8A37-096BD619BC8D/0D9D0075-4AC1-47C4-AA7E-778A266BE58C.jpg","Variant Image")</f>
      </c>
      <c r="U456" s="0">
        <f>HYPERLINK("https://ec-qa-storage.kldlms.com/Item/08DCF9AF-F31B-471A-8A37-096BD619BC8D/F061BCE2-2D7B-4679-967B-F02DD873F670.jpg","Thumbnail Image")</f>
      </c>
      <c r="V456" s="0">
        <f>HYPERLINK("https://ec-qa-storage.kldlms.com/ItemGallery/08DCF9AF-F31B-471A-8A37-096BD619BC8D/D0E3700F-52ED-424F-973B-CA9BD6CBEA02.jpg","Gallery Image ")</f>
      </c>
      <c r="W456" s="0" t="s">
        <v>22</v>
      </c>
      <c r="X456" s="0" t="s">
        <v>1873</v>
      </c>
    </row>
    <row r="457">
      <c r="A457" s="0" t="s">
        <v>1874</v>
      </c>
      <c r="B457" s="0" t="s">
        <v>1874</v>
      </c>
      <c r="C457" s="0" t="s">
        <v>1875</v>
      </c>
      <c r="D457" s="0" t="s">
        <v>27</v>
      </c>
      <c r="E457" s="0" t="s">
        <v>556</v>
      </c>
      <c r="F457" s="0" t="s">
        <v>557</v>
      </c>
      <c r="G457" s="0" t="s">
        <v>1874</v>
      </c>
      <c r="H457" s="0" t="s">
        <v>1874</v>
      </c>
      <c r="I457" s="0" t="s">
        <v>1876</v>
      </c>
      <c r="J457" s="0" t="s">
        <v>1876</v>
      </c>
      <c r="K457" s="0" t="s">
        <v>1877</v>
      </c>
      <c r="L457" s="0" t="s">
        <v>32</v>
      </c>
      <c r="M457" s="0" t="s">
        <v>33</v>
      </c>
      <c r="N457" s="0" t="s">
        <v>32</v>
      </c>
      <c r="O457" s="0" t="s">
        <v>35</v>
      </c>
      <c r="P457" s="0" t="s">
        <v>527</v>
      </c>
      <c r="Q457" s="0" t="s">
        <v>1877</v>
      </c>
      <c r="R457" s="0" t="s">
        <v>1875</v>
      </c>
      <c r="S457" s="0" t="s">
        <v>32</v>
      </c>
      <c r="T457" s="0">
        <f>HYPERLINK("https://storage.sslt.ae/ItemVariation/08DCF9AF-F336-4D97-8CF9-ECC370A512B9/9F3200B9-1D56-4366-A9EB-73F735FC8C0E.jpg","Variant Image")</f>
      </c>
      <c r="U457" s="0">
        <f>HYPERLINK("https://ec-qa-storage.kldlms.com/Item/08DCF9AF-F336-4D97-8CF9-ECC370A512B9/C41C7D17-743C-4681-8777-FC15CEF37CA7.jpg","Thumbnail Image")</f>
      </c>
      <c r="V457" s="0">
        <f>HYPERLINK("https://ec-qa-storage.kldlms.com/ItemGallery/08DCF9AF-F336-4D97-8CF9-ECC370A512B9/78BA85E7-1A75-42C5-9F85-7B071963A211.jpg","Gallery Image ")</f>
      </c>
      <c r="W457" s="0" t="s">
        <v>22</v>
      </c>
      <c r="X457" s="0" t="s">
        <v>1878</v>
      </c>
    </row>
    <row r="458">
      <c r="A458" s="0" t="s">
        <v>1879</v>
      </c>
      <c r="B458" s="0" t="s">
        <v>1879</v>
      </c>
      <c r="C458" s="0" t="s">
        <v>1880</v>
      </c>
      <c r="D458" s="0" t="s">
        <v>27</v>
      </c>
      <c r="E458" s="0" t="s">
        <v>556</v>
      </c>
      <c r="F458" s="0" t="s">
        <v>557</v>
      </c>
      <c r="G458" s="0" t="s">
        <v>1879</v>
      </c>
      <c r="H458" s="0" t="s">
        <v>1879</v>
      </c>
      <c r="I458" s="0" t="s">
        <v>1881</v>
      </c>
      <c r="J458" s="0" t="s">
        <v>1881</v>
      </c>
      <c r="K458" s="0" t="s">
        <v>1882</v>
      </c>
      <c r="L458" s="0" t="s">
        <v>32</v>
      </c>
      <c r="M458" s="0" t="s">
        <v>33</v>
      </c>
      <c r="N458" s="0" t="s">
        <v>32</v>
      </c>
      <c r="O458" s="0" t="s">
        <v>35</v>
      </c>
      <c r="P458" s="0" t="s">
        <v>527</v>
      </c>
      <c r="Q458" s="0" t="s">
        <v>1882</v>
      </c>
      <c r="R458" s="0" t="s">
        <v>1880</v>
      </c>
      <c r="S458" s="0" t="s">
        <v>32</v>
      </c>
      <c r="T458" s="0">
        <f>HYPERLINK("https://storage.sslt.ae/ItemVariation/08DCF9AF-F340-4724-8B0C-816989F2DC8D/8C13755B-CA75-45F7-8309-16EF18846445.jpg","Variant Image")</f>
      </c>
      <c r="U458" s="0">
        <f>HYPERLINK("https://ec-qa-storage.kldlms.com/Item/08DCF9AF-F340-4724-8B0C-816989F2DC8D/C5815E71-0577-4417-969F-1C8AC2911C1D.jpg","Thumbnail Image")</f>
      </c>
      <c r="V458" s="0">
        <f>HYPERLINK("https://ec-qa-storage.kldlms.com/ItemGallery/08DCF9AF-F340-4724-8B0C-816989F2DC8D/9C3CFAC2-139E-4580-8D21-F6AD82F271E6.jpg","Gallery Image ")</f>
      </c>
      <c r="W458" s="0" t="s">
        <v>22</v>
      </c>
      <c r="X458" s="0" t="s">
        <v>1883</v>
      </c>
    </row>
    <row r="459">
      <c r="A459" s="0" t="s">
        <v>1879</v>
      </c>
      <c r="B459" s="0" t="s">
        <v>1879</v>
      </c>
      <c r="C459" s="0" t="s">
        <v>1884</v>
      </c>
      <c r="D459" s="0" t="s">
        <v>27</v>
      </c>
      <c r="E459" s="0" t="s">
        <v>556</v>
      </c>
      <c r="F459" s="0" t="s">
        <v>557</v>
      </c>
      <c r="G459" s="0" t="s">
        <v>1879</v>
      </c>
      <c r="H459" s="0" t="s">
        <v>1879</v>
      </c>
      <c r="I459" s="0" t="s">
        <v>1885</v>
      </c>
      <c r="J459" s="0" t="s">
        <v>1885</v>
      </c>
      <c r="K459" s="0" t="s">
        <v>1886</v>
      </c>
      <c r="L459" s="0" t="s">
        <v>32</v>
      </c>
      <c r="M459" s="0" t="s">
        <v>33</v>
      </c>
      <c r="N459" s="0" t="s">
        <v>164</v>
      </c>
      <c r="O459" s="0" t="s">
        <v>35</v>
      </c>
      <c r="P459" s="0" t="s">
        <v>590</v>
      </c>
      <c r="Q459" s="0" t="s">
        <v>1887</v>
      </c>
      <c r="R459" s="0" t="s">
        <v>1884</v>
      </c>
      <c r="S459" s="0" t="s">
        <v>164</v>
      </c>
      <c r="T459" s="0">
        <f>HYPERLINK("https://storage.sslt.ae/ItemVariation/08DCF9AF-F34A-42EB-8AEC-455BCC8C3F74/B98E2EE9-92EF-49FE-A569-429B3AB3F913.jpg","Variant Image")</f>
      </c>
      <c r="U459" s="0">
        <f>HYPERLINK("https://ec-qa-storage.kldlms.com/Item/08DCF9AF-F34A-42EB-8AEC-455BCC8C3F74/0EF828E8-31D1-4E33-AC49-526CB8D514EE.jpg","Thumbnail Image")</f>
      </c>
      <c r="V459" s="0">
        <f>HYPERLINK("https://ec-qa-storage.kldlms.com/ItemGallery/08DCF9AF-F34A-42EB-8AEC-455BCC8C3F74/51E56F31-CD6C-4CA5-BACF-FB4150D17356.jpg","Gallery Image ")</f>
      </c>
      <c r="W459" s="0" t="s">
        <v>22</v>
      </c>
      <c r="X459" s="0" t="s">
        <v>1888</v>
      </c>
    </row>
    <row r="460">
      <c r="A460" s="0" t="s">
        <v>1889</v>
      </c>
      <c r="B460" s="0" t="s">
        <v>1889</v>
      </c>
      <c r="C460" s="0" t="s">
        <v>1890</v>
      </c>
      <c r="D460" s="0" t="s">
        <v>27</v>
      </c>
      <c r="E460" s="0" t="s">
        <v>556</v>
      </c>
      <c r="F460" s="0" t="s">
        <v>557</v>
      </c>
      <c r="G460" s="0" t="s">
        <v>1889</v>
      </c>
      <c r="H460" s="0" t="s">
        <v>1889</v>
      </c>
      <c r="I460" s="0" t="s">
        <v>1891</v>
      </c>
      <c r="J460" s="0" t="s">
        <v>1891</v>
      </c>
      <c r="K460" s="0" t="s">
        <v>1892</v>
      </c>
      <c r="L460" s="0" t="s">
        <v>32</v>
      </c>
      <c r="M460" s="0" t="s">
        <v>33</v>
      </c>
      <c r="N460" s="0" t="s">
        <v>202</v>
      </c>
      <c r="O460" s="0" t="s">
        <v>35</v>
      </c>
      <c r="P460" s="0" t="s">
        <v>1380</v>
      </c>
      <c r="Q460" s="0" t="s">
        <v>1893</v>
      </c>
      <c r="R460" s="0" t="s">
        <v>1890</v>
      </c>
      <c r="S460" s="0" t="s">
        <v>202</v>
      </c>
      <c r="T460" s="0">
        <f>HYPERLINK("https://storage.sslt.ae/ItemVariation/08DCF9AF-F353-42E4-84F8-B67DBBBE62D7/1AB35F27-A6E1-4FDA-950A-92CDB4D0B5FC.jpg","Variant Image")</f>
      </c>
      <c r="U460" s="0">
        <f>HYPERLINK("https://ec-qa-storage.kldlms.com/Item/08DCF9AF-F353-42E4-84F8-B67DBBBE62D7/9E8355AB-84F5-4517-AA2C-0064E7311736.jpg","Thumbnail Image")</f>
      </c>
      <c r="V460" s="0">
        <f>HYPERLINK("https://ec-qa-storage.kldlms.com/ItemGallery/08DCF9AF-F353-42E4-84F8-B67DBBBE62D7/6626FC51-9DB2-4439-AD65-DBD76E69555B.jpg","Gallery Image ")</f>
      </c>
      <c r="W460" s="0" t="s">
        <v>22</v>
      </c>
      <c r="X460" s="0" t="s">
        <v>1894</v>
      </c>
    </row>
    <row r="461">
      <c r="A461" s="0" t="s">
        <v>665</v>
      </c>
      <c r="B461" s="0" t="s">
        <v>665</v>
      </c>
      <c r="C461" s="0" t="s">
        <v>1895</v>
      </c>
      <c r="D461" s="0" t="s">
        <v>27</v>
      </c>
      <c r="E461" s="0" t="s">
        <v>556</v>
      </c>
      <c r="F461" s="0" t="s">
        <v>557</v>
      </c>
      <c r="G461" s="0" t="s">
        <v>665</v>
      </c>
      <c r="H461" s="0" t="s">
        <v>665</v>
      </c>
      <c r="I461" s="0" t="s">
        <v>1896</v>
      </c>
      <c r="J461" s="0" t="s">
        <v>1896</v>
      </c>
      <c r="K461" s="0" t="s">
        <v>1897</v>
      </c>
      <c r="L461" s="0" t="s">
        <v>32</v>
      </c>
      <c r="M461" s="0" t="s">
        <v>33</v>
      </c>
      <c r="N461" s="0" t="s">
        <v>245</v>
      </c>
      <c r="O461" s="0" t="s">
        <v>35</v>
      </c>
      <c r="P461" s="0" t="s">
        <v>590</v>
      </c>
      <c r="Q461" s="0" t="s">
        <v>1898</v>
      </c>
      <c r="R461" s="0" t="s">
        <v>1895</v>
      </c>
      <c r="S461" s="0" t="s">
        <v>245</v>
      </c>
      <c r="T461" s="0">
        <f>HYPERLINK("https://storage.sslt.ae/ItemVariation/08DCF9AF-F35C-40B2-8D7E-500B976E359E/613D3589-210F-4056-8168-B43B7259B117.jpg","Variant Image")</f>
      </c>
      <c r="U461" s="0">
        <f>HYPERLINK("https://ec-qa-storage.kldlms.com/Item/08DCF9AF-F35C-40B2-8D7E-500B976E359E/97F5EE5D-3DE7-46D7-9500-D8DAB4F49C5E.jpg","Thumbnail Image")</f>
      </c>
      <c r="V461" s="0">
        <f>HYPERLINK("https://ec-qa-storage.kldlms.com/ItemGallery/08DCF9AF-F35C-40B2-8D7E-500B976E359E/0E5F7765-2E46-4A98-8D74-D5C83AA76F12.jpg","Gallery Image ")</f>
      </c>
      <c r="W461" s="0" t="s">
        <v>22</v>
      </c>
      <c r="X461" s="0" t="s">
        <v>1899</v>
      </c>
    </row>
    <row r="462">
      <c r="A462" s="0" t="s">
        <v>1900</v>
      </c>
      <c r="B462" s="0" t="s">
        <v>1900</v>
      </c>
      <c r="C462" s="0" t="s">
        <v>1901</v>
      </c>
      <c r="D462" s="0" t="s">
        <v>27</v>
      </c>
      <c r="E462" s="0" t="s">
        <v>556</v>
      </c>
      <c r="F462" s="0" t="s">
        <v>557</v>
      </c>
      <c r="G462" s="0" t="s">
        <v>1900</v>
      </c>
      <c r="H462" s="0" t="s">
        <v>1900</v>
      </c>
      <c r="I462" s="0" t="s">
        <v>1902</v>
      </c>
      <c r="J462" s="0" t="s">
        <v>1902</v>
      </c>
      <c r="K462" s="0" t="s">
        <v>1903</v>
      </c>
      <c r="L462" s="0" t="s">
        <v>32</v>
      </c>
      <c r="M462" s="0" t="s">
        <v>33</v>
      </c>
      <c r="N462" s="0" t="s">
        <v>787</v>
      </c>
      <c r="O462" s="0" t="s">
        <v>35</v>
      </c>
      <c r="P462" s="0" t="s">
        <v>590</v>
      </c>
      <c r="Q462" s="0" t="s">
        <v>1904</v>
      </c>
      <c r="R462" s="0" t="s">
        <v>1901</v>
      </c>
      <c r="S462" s="0" t="s">
        <v>787</v>
      </c>
      <c r="T462" s="0">
        <f>HYPERLINK("https://storage.sslt.ae/ItemVariation/08DCF9AF-F364-4F68-89FD-2C863406EFCA/056F3600-AC2E-4615-A56D-017CD947201A.jpg","Variant Image")</f>
      </c>
      <c r="U462" s="0">
        <f>HYPERLINK("https://ec-qa-storage.kldlms.com/Item/08DCF9AF-F364-4F68-89FD-2C863406EFCA/4092815D-8D23-4526-B322-73407BAA3BCF.jpg","Thumbnail Image")</f>
      </c>
      <c r="V462" s="0">
        <f>HYPERLINK("https://ec-qa-storage.kldlms.com/ItemGallery/08DCF9AF-F364-4F68-89FD-2C863406EFCA/68A8564A-5FE1-477F-B3DF-AEBDDB0CC302.jpg","Gallery Image ")</f>
      </c>
      <c r="W462" s="0" t="s">
        <v>22</v>
      </c>
      <c r="X462" s="0" t="s">
        <v>1905</v>
      </c>
    </row>
    <row r="463">
      <c r="A463" s="0" t="s">
        <v>1900</v>
      </c>
      <c r="B463" s="0" t="s">
        <v>1900</v>
      </c>
      <c r="C463" s="0" t="s">
        <v>1906</v>
      </c>
      <c r="D463" s="0" t="s">
        <v>27</v>
      </c>
      <c r="E463" s="0" t="s">
        <v>556</v>
      </c>
      <c r="F463" s="0" t="s">
        <v>557</v>
      </c>
      <c r="G463" s="0" t="s">
        <v>1900</v>
      </c>
      <c r="H463" s="0" t="s">
        <v>1900</v>
      </c>
      <c r="I463" s="0" t="s">
        <v>1907</v>
      </c>
      <c r="J463" s="0" t="s">
        <v>1907</v>
      </c>
      <c r="K463" s="0" t="s">
        <v>1908</v>
      </c>
      <c r="L463" s="0" t="s">
        <v>32</v>
      </c>
      <c r="M463" s="0" t="s">
        <v>33</v>
      </c>
      <c r="N463" s="0" t="s">
        <v>164</v>
      </c>
      <c r="O463" s="0" t="s">
        <v>35</v>
      </c>
      <c r="P463" s="0" t="s">
        <v>527</v>
      </c>
      <c r="Q463" s="0" t="s">
        <v>1909</v>
      </c>
      <c r="R463" s="0" t="s">
        <v>1906</v>
      </c>
      <c r="S463" s="0" t="s">
        <v>164</v>
      </c>
      <c r="T463" s="0">
        <f>HYPERLINK("https://storage.sslt.ae/ItemVariation/08DCF9AF-F36E-464B-8C55-AC570FF458A1/A8A27FF9-ACB8-4987-AFBD-C128AC010555.jpg","Variant Image")</f>
      </c>
      <c r="U463" s="0">
        <f>HYPERLINK("https://ec-qa-storage.kldlms.com/Item/08DCF9AF-F36E-464B-8C55-AC570FF458A1/283104A6-429E-48A9-8DCD-78ADF671D9B1.jpg","Thumbnail Image")</f>
      </c>
      <c r="V463" s="0">
        <f>HYPERLINK("https://ec-qa-storage.kldlms.com/ItemGallery/08DCF9AF-F36E-464B-8C55-AC570FF458A1/5024007C-1F82-4708-88EA-6936FBB4DA0A.jpg","Gallery Image ")</f>
      </c>
      <c r="W463" s="0" t="s">
        <v>22</v>
      </c>
      <c r="X463" s="0" t="s">
        <v>1910</v>
      </c>
    </row>
    <row r="464">
      <c r="A464" s="0" t="s">
        <v>1911</v>
      </c>
      <c r="B464" s="0" t="s">
        <v>1911</v>
      </c>
      <c r="C464" s="0" t="s">
        <v>1912</v>
      </c>
      <c r="D464" s="0" t="s">
        <v>27</v>
      </c>
      <c r="E464" s="0" t="s">
        <v>556</v>
      </c>
      <c r="F464" s="0" t="s">
        <v>557</v>
      </c>
      <c r="G464" s="0" t="s">
        <v>1911</v>
      </c>
      <c r="H464" s="0" t="s">
        <v>1911</v>
      </c>
      <c r="I464" s="0" t="s">
        <v>1913</v>
      </c>
      <c r="J464" s="0" t="s">
        <v>1913</v>
      </c>
      <c r="K464" s="0" t="s">
        <v>1914</v>
      </c>
      <c r="L464" s="0" t="s">
        <v>32</v>
      </c>
      <c r="M464" s="0" t="s">
        <v>33</v>
      </c>
      <c r="N464" s="0" t="s">
        <v>1915</v>
      </c>
      <c r="O464" s="0" t="s">
        <v>35</v>
      </c>
      <c r="P464" s="0" t="s">
        <v>527</v>
      </c>
      <c r="Q464" s="0" t="s">
        <v>1916</v>
      </c>
      <c r="R464" s="0" t="s">
        <v>1912</v>
      </c>
      <c r="S464" s="0" t="s">
        <v>1915</v>
      </c>
      <c r="T464" s="0">
        <f>HYPERLINK("https://storage.sslt.ae/ItemVariation/08DCF9AF-F377-4752-8678-D6CF5C7ED351/A4D0A1CB-B63D-4A1B-88DA-23B3E28FD96D.jpg","Variant Image")</f>
      </c>
      <c r="U464" s="0">
        <f>HYPERLINK("https://ec-qa-storage.kldlms.com/Item/08DCF9AF-F377-4752-8678-D6CF5C7ED351/8A35C246-3EA3-4E1D-9192-6A75D3FB1507.jpg","Thumbnail Image")</f>
      </c>
      <c r="V464" s="0">
        <f>HYPERLINK("https://ec-qa-storage.kldlms.com/ItemGallery/08DCF9AF-F377-4752-8678-D6CF5C7ED351/13201850-C464-476D-A3D4-E51E82B0416A.jpg","Gallery Image ")</f>
      </c>
      <c r="W464" s="0" t="s">
        <v>22</v>
      </c>
      <c r="X464" s="0" t="s">
        <v>1917</v>
      </c>
    </row>
    <row r="465">
      <c r="A465" s="0" t="s">
        <v>1918</v>
      </c>
      <c r="B465" s="0" t="s">
        <v>1918</v>
      </c>
      <c r="C465" s="0" t="s">
        <v>1919</v>
      </c>
      <c r="D465" s="0" t="s">
        <v>27</v>
      </c>
      <c r="E465" s="0" t="s">
        <v>556</v>
      </c>
      <c r="F465" s="0" t="s">
        <v>557</v>
      </c>
      <c r="G465" s="0" t="s">
        <v>1918</v>
      </c>
      <c r="H465" s="0" t="s">
        <v>1918</v>
      </c>
      <c r="I465" s="0" t="s">
        <v>1920</v>
      </c>
      <c r="J465" s="0" t="s">
        <v>1920</v>
      </c>
      <c r="K465" s="0" t="s">
        <v>1921</v>
      </c>
      <c r="L465" s="0" t="s">
        <v>32</v>
      </c>
      <c r="M465" s="0" t="s">
        <v>33</v>
      </c>
      <c r="N465" s="0" t="s">
        <v>245</v>
      </c>
      <c r="O465" s="0" t="s">
        <v>35</v>
      </c>
      <c r="P465" s="0" t="s">
        <v>590</v>
      </c>
      <c r="Q465" s="0" t="s">
        <v>1922</v>
      </c>
      <c r="R465" s="0" t="s">
        <v>1919</v>
      </c>
      <c r="S465" s="0" t="s">
        <v>245</v>
      </c>
      <c r="T465" s="0">
        <f>HYPERLINK("https://storage.sslt.ae/ItemVariation/08DCF9AF-F380-453C-84A9-B3BEE0776D2A/FD965FA4-FB7A-4A40-BCF9-C85F29C384A1.jpg","Variant Image")</f>
      </c>
      <c r="U465" s="0">
        <f>HYPERLINK("https://ec-qa-storage.kldlms.com/Item/08DCF9AF-F380-453C-84A9-B3BEE0776D2A/A189CC23-2517-4630-8893-1FE955FB1410.jpg","Thumbnail Image")</f>
      </c>
      <c r="V465" s="0">
        <f>HYPERLINK("https://ec-qa-storage.kldlms.com/ItemGallery/08DCF9AF-F380-453C-84A9-B3BEE0776D2A/99F8D34A-E948-4E7F-AAB6-F401C26EE700.jpg","Gallery Image ")</f>
      </c>
      <c r="W465" s="0" t="s">
        <v>22</v>
      </c>
      <c r="X465" s="0" t="s">
        <v>1923</v>
      </c>
    </row>
    <row r="466">
      <c r="A466" s="0" t="s">
        <v>1924</v>
      </c>
      <c r="B466" s="0" t="s">
        <v>1924</v>
      </c>
      <c r="C466" s="0" t="s">
        <v>1925</v>
      </c>
      <c r="D466" s="0" t="s">
        <v>27</v>
      </c>
      <c r="E466" s="0" t="s">
        <v>556</v>
      </c>
      <c r="F466" s="0" t="s">
        <v>557</v>
      </c>
      <c r="G466" s="0" t="s">
        <v>1924</v>
      </c>
      <c r="H466" s="0" t="s">
        <v>1924</v>
      </c>
      <c r="I466" s="0" t="s">
        <v>1926</v>
      </c>
      <c r="J466" s="0" t="s">
        <v>1926</v>
      </c>
      <c r="K466" s="0" t="s">
        <v>1927</v>
      </c>
      <c r="L466" s="0" t="s">
        <v>32</v>
      </c>
      <c r="M466" s="0" t="s">
        <v>33</v>
      </c>
      <c r="N466" s="0" t="s">
        <v>35</v>
      </c>
      <c r="O466" s="0" t="s">
        <v>35</v>
      </c>
      <c r="P466" s="0" t="s">
        <v>527</v>
      </c>
      <c r="Q466" s="0" t="s">
        <v>1928</v>
      </c>
      <c r="R466" s="0" t="s">
        <v>1925</v>
      </c>
      <c r="S466" s="0" t="s">
        <v>35</v>
      </c>
      <c r="T466" s="0">
        <f>HYPERLINK("https://storage.sslt.ae/ItemVariation/08DCF9AF-F389-41C1-8390-3AB3BF2B0C84/98B83ADB-5E12-4600-9857-794DEFA12B3D.jpg","Variant Image")</f>
      </c>
      <c r="U466" s="0">
        <f>HYPERLINK("https://ec-qa-storage.kldlms.com/Item/08DCF9AF-F389-41C1-8390-3AB3BF2B0C84/2EF469D8-56B3-49CE-BBA4-5366E2AF8D4D.jpg","Thumbnail Image")</f>
      </c>
      <c r="V466" s="0">
        <f>HYPERLINK("https://ec-qa-storage.kldlms.com/ItemGallery/08DCF9AF-F389-41C1-8390-3AB3BF2B0C84/C4F193FF-2F06-4246-9D63-46239B0D9D31.jpg","Gallery Image ")</f>
      </c>
      <c r="W466" s="0" t="s">
        <v>22</v>
      </c>
      <c r="X466" s="0" t="s">
        <v>1929</v>
      </c>
    </row>
    <row r="467">
      <c r="A467" s="0" t="s">
        <v>1924</v>
      </c>
      <c r="B467" s="0" t="s">
        <v>1924</v>
      </c>
      <c r="C467" s="0" t="s">
        <v>1930</v>
      </c>
      <c r="D467" s="0" t="s">
        <v>27</v>
      </c>
      <c r="E467" s="0" t="s">
        <v>556</v>
      </c>
      <c r="F467" s="0" t="s">
        <v>557</v>
      </c>
      <c r="G467" s="0" t="s">
        <v>1924</v>
      </c>
      <c r="H467" s="0" t="s">
        <v>1924</v>
      </c>
      <c r="I467" s="0" t="s">
        <v>1931</v>
      </c>
      <c r="J467" s="0" t="s">
        <v>1931</v>
      </c>
      <c r="K467" s="0" t="s">
        <v>1932</v>
      </c>
      <c r="L467" s="0" t="s">
        <v>32</v>
      </c>
      <c r="M467" s="0" t="s">
        <v>33</v>
      </c>
      <c r="N467" s="0" t="s">
        <v>100</v>
      </c>
      <c r="O467" s="0" t="s">
        <v>35</v>
      </c>
      <c r="P467" s="0" t="s">
        <v>590</v>
      </c>
      <c r="Q467" s="0" t="s">
        <v>1933</v>
      </c>
      <c r="R467" s="0" t="s">
        <v>1930</v>
      </c>
      <c r="S467" s="0" t="s">
        <v>100</v>
      </c>
      <c r="T467" s="0">
        <f>HYPERLINK("https://storage.sslt.ae/ItemVariation/08DCF9AF-F392-406F-8670-7DD2710F2659/B326CD03-2135-47D4-A5C8-6C2E8AF77CE9.jpg","Variant Image")</f>
      </c>
      <c r="U467" s="0">
        <f>HYPERLINK("https://ec-qa-storage.kldlms.com/Item/08DCF9AF-F392-406F-8670-7DD2710F2659/8A01AB15-0EAC-4FAB-BE84-31674F0C9751.jpg","Thumbnail Image")</f>
      </c>
      <c r="V467" s="0">
        <f>HYPERLINK("https://ec-qa-storage.kldlms.com/ItemGallery/08DCF9AF-F392-406F-8670-7DD2710F2659/5961BF6E-52B4-4758-B08A-EBC18A9F5A06.jpg","Gallery Image ")</f>
      </c>
      <c r="W467" s="0" t="s">
        <v>22</v>
      </c>
      <c r="X467" s="0" t="s">
        <v>1934</v>
      </c>
    </row>
    <row r="468">
      <c r="A468" s="0" t="s">
        <v>1900</v>
      </c>
      <c r="B468" s="0" t="s">
        <v>1900</v>
      </c>
      <c r="C468" s="0" t="s">
        <v>1935</v>
      </c>
      <c r="D468" s="0" t="s">
        <v>27</v>
      </c>
      <c r="E468" s="0" t="s">
        <v>556</v>
      </c>
      <c r="F468" s="0" t="s">
        <v>557</v>
      </c>
      <c r="G468" s="0" t="s">
        <v>1900</v>
      </c>
      <c r="H468" s="0" t="s">
        <v>1900</v>
      </c>
      <c r="I468" s="0" t="s">
        <v>1936</v>
      </c>
      <c r="J468" s="0" t="s">
        <v>1936</v>
      </c>
      <c r="K468" s="0" t="s">
        <v>1937</v>
      </c>
      <c r="L468" s="0" t="s">
        <v>32</v>
      </c>
      <c r="M468" s="0" t="s">
        <v>33</v>
      </c>
      <c r="N468" s="0" t="s">
        <v>1030</v>
      </c>
      <c r="O468" s="0" t="s">
        <v>35</v>
      </c>
      <c r="P468" s="0" t="s">
        <v>527</v>
      </c>
      <c r="Q468" s="0" t="s">
        <v>1938</v>
      </c>
      <c r="R468" s="0" t="s">
        <v>1935</v>
      </c>
      <c r="S468" s="0" t="s">
        <v>1030</v>
      </c>
      <c r="T468" s="0">
        <f>HYPERLINK("https://storage.sslt.ae/ItemVariation/08DCF9AF-F39A-4D7D-8797-DE8CE6CA0BD8/F4D23405-DAA8-436A-AF91-DBA0B46F8B8A.jpg","Variant Image")</f>
      </c>
      <c r="U468" s="0">
        <f>HYPERLINK("https://ec-qa-storage.kldlms.com/Item/08DCF9AF-F39A-4D7D-8797-DE8CE6CA0BD8/014B9158-5E16-44CD-BE26-755BF4E07CE5.jpg","Thumbnail Image")</f>
      </c>
      <c r="V468" s="0">
        <f>HYPERLINK("https://ec-qa-storage.kldlms.com/ItemGallery/08DCF9AF-F39A-4D7D-8797-DE8CE6CA0BD8/F2B41B28-299B-4666-B5F4-94D1FC846809.jpg","Gallery Image ")</f>
      </c>
      <c r="W468" s="0" t="s">
        <v>22</v>
      </c>
      <c r="X468" s="0" t="s">
        <v>1939</v>
      </c>
    </row>
    <row r="469">
      <c r="A469" s="0" t="s">
        <v>1940</v>
      </c>
      <c r="B469" s="0" t="s">
        <v>1940</v>
      </c>
      <c r="C469" s="0" t="s">
        <v>1941</v>
      </c>
      <c r="D469" s="0" t="s">
        <v>27</v>
      </c>
      <c r="E469" s="0" t="s">
        <v>556</v>
      </c>
      <c r="F469" s="0" t="s">
        <v>557</v>
      </c>
      <c r="G469" s="0" t="s">
        <v>1940</v>
      </c>
      <c r="H469" s="0" t="s">
        <v>1940</v>
      </c>
      <c r="I469" s="0" t="s">
        <v>1942</v>
      </c>
      <c r="J469" s="0" t="s">
        <v>1942</v>
      </c>
      <c r="K469" s="0" t="s">
        <v>1943</v>
      </c>
      <c r="L469" s="0" t="s">
        <v>32</v>
      </c>
      <c r="M469" s="0" t="s">
        <v>33</v>
      </c>
      <c r="N469" s="0" t="s">
        <v>772</v>
      </c>
      <c r="O469" s="0" t="s">
        <v>35</v>
      </c>
      <c r="P469" s="0" t="s">
        <v>590</v>
      </c>
      <c r="Q469" s="0" t="s">
        <v>1944</v>
      </c>
      <c r="R469" s="0" t="s">
        <v>1941</v>
      </c>
      <c r="S469" s="0" t="s">
        <v>772</v>
      </c>
      <c r="T469" s="0">
        <f>HYPERLINK("https://storage.sslt.ae/ItemVariation/08DCF9AF-F3A3-49E6-80B9-3E3877917B89/79BAC79D-CB27-4F5A-8D99-94D48627DF55.jpg","Variant Image")</f>
      </c>
      <c r="U469" s="0">
        <f>HYPERLINK("https://ec-qa-storage.kldlms.com/Item/08DCF9AF-F3A3-49E6-80B9-3E3877917B89/E20E9F65-3640-4943-9474-A68B34702794.jpg","Thumbnail Image")</f>
      </c>
      <c r="V469" s="0">
        <f>HYPERLINK("https://ec-qa-storage.kldlms.com/ItemGallery/08DCF9AF-F3A3-49E6-80B9-3E3877917B89/31132348-2BD1-4C65-9666-AB66ED9F4821.jpg","Gallery Image ")</f>
      </c>
      <c r="W469" s="0" t="s">
        <v>22</v>
      </c>
      <c r="X469" s="0" t="s">
        <v>1945</v>
      </c>
    </row>
    <row r="470">
      <c r="A470" s="0" t="s">
        <v>1946</v>
      </c>
      <c r="B470" s="0" t="s">
        <v>1946</v>
      </c>
      <c r="C470" s="0" t="s">
        <v>1947</v>
      </c>
      <c r="D470" s="0" t="s">
        <v>27</v>
      </c>
      <c r="E470" s="0" t="s">
        <v>556</v>
      </c>
      <c r="F470" s="0" t="s">
        <v>557</v>
      </c>
      <c r="G470" s="0" t="s">
        <v>1946</v>
      </c>
      <c r="H470" s="0" t="s">
        <v>1946</v>
      </c>
      <c r="I470" s="0" t="s">
        <v>1948</v>
      </c>
      <c r="J470" s="0" t="s">
        <v>1948</v>
      </c>
      <c r="K470" s="0" t="s">
        <v>1949</v>
      </c>
      <c r="L470" s="0" t="s">
        <v>32</v>
      </c>
      <c r="M470" s="0" t="s">
        <v>33</v>
      </c>
      <c r="N470" s="0" t="s">
        <v>1030</v>
      </c>
      <c r="O470" s="0" t="s">
        <v>35</v>
      </c>
      <c r="P470" s="0" t="s">
        <v>590</v>
      </c>
      <c r="Q470" s="0" t="s">
        <v>1950</v>
      </c>
      <c r="R470" s="0" t="s">
        <v>1947</v>
      </c>
      <c r="S470" s="0" t="s">
        <v>1030</v>
      </c>
      <c r="T470" s="0">
        <f>HYPERLINK("https://storage.sslt.ae/ItemVariation/08DCF9AF-F3AC-4952-8552-D054B422CDE2/4C080DD2-CBC7-4F51-B76D-B69BC262BEE8.jpg","Variant Image")</f>
      </c>
      <c r="U470" s="0">
        <f>HYPERLINK("https://ec-qa-storage.kldlms.com/Item/08DCF9AF-F3AC-4952-8552-D054B422CDE2/420C44E7-E3F8-4572-96FB-8F7D2C812A3B.jpg","Thumbnail Image")</f>
      </c>
      <c r="V470" s="0">
        <f>HYPERLINK("https://ec-qa-storage.kldlms.com/ItemGallery/08DCF9AF-F3AC-4952-8552-D054B422CDE2/B27B8421-4BE8-4063-844E-AA9C60547DB4.jpg","Gallery Image ")</f>
      </c>
      <c r="W470" s="0" t="s">
        <v>22</v>
      </c>
      <c r="X470" s="0" t="s">
        <v>1951</v>
      </c>
    </row>
    <row r="471">
      <c r="A471" s="0" t="s">
        <v>1952</v>
      </c>
      <c r="B471" s="0" t="s">
        <v>1952</v>
      </c>
      <c r="C471" s="0" t="s">
        <v>1953</v>
      </c>
      <c r="D471" s="0" t="s">
        <v>27</v>
      </c>
      <c r="E471" s="0" t="s">
        <v>556</v>
      </c>
      <c r="F471" s="0" t="s">
        <v>557</v>
      </c>
      <c r="G471" s="0" t="s">
        <v>1952</v>
      </c>
      <c r="H471" s="0" t="s">
        <v>1952</v>
      </c>
      <c r="I471" s="0" t="s">
        <v>1954</v>
      </c>
      <c r="J471" s="0" t="s">
        <v>1954</v>
      </c>
      <c r="K471" s="0" t="s">
        <v>1955</v>
      </c>
      <c r="L471" s="0" t="s">
        <v>32</v>
      </c>
      <c r="M471" s="0" t="s">
        <v>33</v>
      </c>
      <c r="N471" s="0" t="s">
        <v>512</v>
      </c>
      <c r="O471" s="0" t="s">
        <v>35</v>
      </c>
      <c r="P471" s="0" t="s">
        <v>527</v>
      </c>
      <c r="Q471" s="0" t="s">
        <v>1956</v>
      </c>
      <c r="R471" s="0" t="s">
        <v>1953</v>
      </c>
      <c r="S471" s="0" t="s">
        <v>512</v>
      </c>
      <c r="T471" s="0">
        <f>HYPERLINK("https://storage.sslt.ae/ItemVariation/08DCF9AF-F3B5-4C1B-83DD-1D2019AEDFBE/AB021AF0-D725-44D0-B6A2-33B852650A91.jpg","Variant Image")</f>
      </c>
      <c r="U471" s="0">
        <f>HYPERLINK("https://ec-qa-storage.kldlms.com/Item/08DCF9AF-F3B5-4C1B-83DD-1D2019AEDFBE/319E2ABE-9C5A-4543-A33A-0D7DAC2BB77A.jpg","Thumbnail Image")</f>
      </c>
      <c r="V471" s="0">
        <f>HYPERLINK("https://ec-qa-storage.kldlms.com/ItemGallery/08DCF9AF-F3B5-4C1B-83DD-1D2019AEDFBE/41D8295E-407B-425D-93A5-A3F43E85B74D.jpg","Gallery Image ")</f>
      </c>
      <c r="W471" s="0" t="s">
        <v>22</v>
      </c>
      <c r="X471" s="0" t="s">
        <v>1957</v>
      </c>
    </row>
    <row r="472">
      <c r="A472" s="0" t="s">
        <v>665</v>
      </c>
      <c r="B472" s="0" t="s">
        <v>665</v>
      </c>
      <c r="C472" s="0" t="s">
        <v>1958</v>
      </c>
      <c r="D472" s="0" t="s">
        <v>27</v>
      </c>
      <c r="E472" s="0" t="s">
        <v>556</v>
      </c>
      <c r="F472" s="0" t="s">
        <v>557</v>
      </c>
      <c r="G472" s="0" t="s">
        <v>665</v>
      </c>
      <c r="H472" s="0" t="s">
        <v>665</v>
      </c>
      <c r="I472" s="0" t="s">
        <v>1959</v>
      </c>
      <c r="J472" s="0" t="s">
        <v>1959</v>
      </c>
      <c r="K472" s="0" t="s">
        <v>1960</v>
      </c>
      <c r="L472" s="0" t="s">
        <v>32</v>
      </c>
      <c r="M472" s="0" t="s">
        <v>33</v>
      </c>
      <c r="N472" s="0" t="s">
        <v>232</v>
      </c>
      <c r="O472" s="0" t="s">
        <v>35</v>
      </c>
      <c r="P472" s="0" t="s">
        <v>590</v>
      </c>
      <c r="Q472" s="0" t="s">
        <v>1961</v>
      </c>
      <c r="R472" s="0" t="s">
        <v>1958</v>
      </c>
      <c r="S472" s="0" t="s">
        <v>232</v>
      </c>
      <c r="T472" s="0">
        <f>HYPERLINK("https://storage.sslt.ae/ItemVariation/08DCF9AF-F3C0-40FD-8713-D7AB9CE59653/447C4361-BE8B-4BCB-93C5-713281C7CC12.jpg","Variant Image")</f>
      </c>
      <c r="U472" s="0">
        <f>HYPERLINK("https://ec-qa-storage.kldlms.com/Item/08DCF9AF-F3C0-40FD-8713-D7AB9CE59653/9393B0CE-83C4-4AF1-9298-999FFF2C9B96.jpg","Thumbnail Image")</f>
      </c>
      <c r="V472" s="0">
        <f>HYPERLINK("https://ec-qa-storage.kldlms.com/ItemGallery/08DCF9AF-F3C0-40FD-8713-D7AB9CE59653/90589443-22A3-47FA-8EAC-162D5D3EB373.jpg","Gallery Image ")</f>
      </c>
      <c r="W472" s="0" t="s">
        <v>22</v>
      </c>
      <c r="X472" s="0" t="s">
        <v>1962</v>
      </c>
    </row>
    <row r="473">
      <c r="A473" s="0" t="s">
        <v>1963</v>
      </c>
      <c r="B473" s="0" t="s">
        <v>1963</v>
      </c>
      <c r="C473" s="0" t="s">
        <v>1964</v>
      </c>
      <c r="D473" s="0" t="s">
        <v>27</v>
      </c>
      <c r="E473" s="0" t="s">
        <v>556</v>
      </c>
      <c r="F473" s="0" t="s">
        <v>557</v>
      </c>
      <c r="G473" s="0" t="s">
        <v>1963</v>
      </c>
      <c r="H473" s="0" t="s">
        <v>1963</v>
      </c>
      <c r="I473" s="0" t="s">
        <v>1965</v>
      </c>
      <c r="J473" s="0" t="s">
        <v>1965</v>
      </c>
      <c r="K473" s="0" t="s">
        <v>1966</v>
      </c>
      <c r="L473" s="0" t="s">
        <v>32</v>
      </c>
      <c r="M473" s="0" t="s">
        <v>33</v>
      </c>
      <c r="N473" s="0" t="s">
        <v>205</v>
      </c>
      <c r="O473" s="0" t="s">
        <v>35</v>
      </c>
      <c r="P473" s="0" t="s">
        <v>590</v>
      </c>
      <c r="Q473" s="0" t="s">
        <v>1967</v>
      </c>
      <c r="R473" s="0" t="s">
        <v>1964</v>
      </c>
      <c r="S473" s="0" t="s">
        <v>205</v>
      </c>
      <c r="T473" s="0">
        <f>HYPERLINK("https://storage.sslt.ae/ItemVariation/08DCF9AF-F3E2-4558-87CA-D9D8079CF2F7/CBAE6CE6-22AE-40F2-80C2-FB738BD7C81C.jpg","Variant Image")</f>
      </c>
      <c r="U473" s="0">
        <f>HYPERLINK("https://ec-qa-storage.kldlms.com/Item/08DCF9AF-F3E2-4558-87CA-D9D8079CF2F7/3C4D7093-EAED-4B78-9B38-F4B1826765BC.jpg","Thumbnail Image")</f>
      </c>
      <c r="V473" s="0">
        <f>HYPERLINK("https://ec-qa-storage.kldlms.com/ItemGallery/08DCF9AF-F3E2-4558-87CA-D9D8079CF2F7/017DA0E7-E06C-44F9-8E4D-FE6AC12795AC.jpg","Gallery Image ")</f>
      </c>
      <c r="W473" s="0" t="s">
        <v>22</v>
      </c>
      <c r="X473" s="0" t="s">
        <v>1968</v>
      </c>
    </row>
    <row r="474">
      <c r="A474" s="0" t="s">
        <v>1969</v>
      </c>
      <c r="B474" s="0" t="s">
        <v>1969</v>
      </c>
      <c r="C474" s="0" t="s">
        <v>1970</v>
      </c>
      <c r="D474" s="0" t="s">
        <v>27</v>
      </c>
      <c r="E474" s="0" t="s">
        <v>556</v>
      </c>
      <c r="F474" s="0" t="s">
        <v>557</v>
      </c>
      <c r="G474" s="0" t="s">
        <v>1969</v>
      </c>
      <c r="H474" s="0" t="s">
        <v>1969</v>
      </c>
      <c r="I474" s="0" t="s">
        <v>1971</v>
      </c>
      <c r="J474" s="0" t="s">
        <v>1971</v>
      </c>
      <c r="K474" s="0" t="s">
        <v>539</v>
      </c>
      <c r="L474" s="0" t="s">
        <v>32</v>
      </c>
      <c r="M474" s="0" t="s">
        <v>33</v>
      </c>
      <c r="N474" s="0" t="s">
        <v>302</v>
      </c>
      <c r="O474" s="0" t="s">
        <v>35</v>
      </c>
      <c r="P474" s="0" t="s">
        <v>527</v>
      </c>
      <c r="Q474" s="0" t="s">
        <v>1972</v>
      </c>
      <c r="R474" s="0" t="s">
        <v>1970</v>
      </c>
      <c r="S474" s="0" t="s">
        <v>302</v>
      </c>
      <c r="T474" s="0">
        <f>HYPERLINK("https://storage.sslt.ae/ItemVariation/08DCF9AF-F3EB-44A2-89CD-82B137CD6713/746DED67-4C5F-4AA6-AD4F-137F27D8B43E.jpg","Variant Image")</f>
      </c>
      <c r="U474" s="0">
        <f>HYPERLINK("https://ec-qa-storage.kldlms.com/Item/08DCF9AF-F3EB-44A2-89CD-82B137CD6713/953DACE9-3D82-4FD7-92EC-0947F36F465D.jpg","Thumbnail Image")</f>
      </c>
      <c r="V474" s="0">
        <f>HYPERLINK("https://ec-qa-storage.kldlms.com/ItemGallery/08DCF9AF-F3EB-44A2-89CD-82B137CD6713/E63B8BDC-3048-4C06-B4C5-F946FC2E00E7.jpg","Gallery Image ")</f>
      </c>
      <c r="W474" s="0" t="s">
        <v>22</v>
      </c>
      <c r="X474" s="0" t="s">
        <v>1973</v>
      </c>
    </row>
    <row r="475">
      <c r="A475" s="0" t="s">
        <v>1974</v>
      </c>
      <c r="B475" s="0" t="s">
        <v>1974</v>
      </c>
      <c r="C475" s="0" t="s">
        <v>1975</v>
      </c>
      <c r="D475" s="0" t="s">
        <v>27</v>
      </c>
      <c r="E475" s="0" t="s">
        <v>556</v>
      </c>
      <c r="F475" s="0" t="s">
        <v>557</v>
      </c>
      <c r="G475" s="0" t="s">
        <v>1974</v>
      </c>
      <c r="H475" s="0" t="s">
        <v>1974</v>
      </c>
      <c r="I475" s="0" t="s">
        <v>1976</v>
      </c>
      <c r="J475" s="0" t="s">
        <v>1976</v>
      </c>
      <c r="K475" s="0" t="s">
        <v>1977</v>
      </c>
      <c r="L475" s="0" t="s">
        <v>32</v>
      </c>
      <c r="M475" s="0" t="s">
        <v>33</v>
      </c>
      <c r="N475" s="0" t="s">
        <v>32</v>
      </c>
      <c r="O475" s="0" t="s">
        <v>35</v>
      </c>
      <c r="P475" s="0" t="s">
        <v>527</v>
      </c>
      <c r="Q475" s="0" t="s">
        <v>1978</v>
      </c>
      <c r="R475" s="0" t="s">
        <v>1975</v>
      </c>
      <c r="S475" s="0" t="s">
        <v>92</v>
      </c>
      <c r="T475" s="0">
        <f>HYPERLINK("https://storage.sslt.ae/ItemVariation/08DCF9AF-F3F3-4C60-8A45-10A77FAA8C8C/19E196E6-2C59-4BC6-8CE7-9F43183FDBF2.jpg","Variant Image")</f>
      </c>
      <c r="U475" s="0">
        <f>HYPERLINK("https://ec-qa-storage.kldlms.com/Item/08DCF9AF-F3F3-4C60-8A45-10A77FAA8C8C/A0209ADA-CC26-4AD8-9AA9-1285726EC1BA.jpg","Thumbnail Image")</f>
      </c>
      <c r="V475" s="0">
        <f>HYPERLINK("https://ec-qa-storage.kldlms.com/ItemGallery/08DCF9AF-F3F3-4C60-8A45-10A77FAA8C8C/D1D92CBA-4D8C-404C-A692-BEB860878399.jpg","Gallery Image ")</f>
      </c>
      <c r="W475" s="0" t="s">
        <v>22</v>
      </c>
      <c r="X475" s="0" t="s">
        <v>1979</v>
      </c>
    </row>
    <row r="476">
      <c r="A476" s="0" t="s">
        <v>1980</v>
      </c>
      <c r="B476" s="0" t="s">
        <v>1980</v>
      </c>
      <c r="C476" s="0" t="s">
        <v>1981</v>
      </c>
      <c r="D476" s="0" t="s">
        <v>27</v>
      </c>
      <c r="E476" s="0" t="s">
        <v>556</v>
      </c>
      <c r="F476" s="0" t="s">
        <v>557</v>
      </c>
      <c r="G476" s="0" t="s">
        <v>1980</v>
      </c>
      <c r="H476" s="0" t="s">
        <v>1980</v>
      </c>
      <c r="I476" s="0" t="s">
        <v>1982</v>
      </c>
      <c r="J476" s="0" t="s">
        <v>1982</v>
      </c>
      <c r="K476" s="0" t="s">
        <v>1983</v>
      </c>
      <c r="L476" s="0" t="s">
        <v>32</v>
      </c>
      <c r="M476" s="0" t="s">
        <v>33</v>
      </c>
      <c r="N476" s="0" t="s">
        <v>32</v>
      </c>
      <c r="O476" s="0" t="s">
        <v>35</v>
      </c>
      <c r="P476" s="0" t="s">
        <v>527</v>
      </c>
      <c r="Q476" s="0" t="s">
        <v>1983</v>
      </c>
      <c r="R476" s="0" t="s">
        <v>1981</v>
      </c>
      <c r="S476" s="0" t="s">
        <v>32</v>
      </c>
      <c r="T476" s="0">
        <f>HYPERLINK("https://storage.sslt.ae/ItemVariation/08DCF9AF-F3FC-48B6-842D-C03220C0EFBF/787D13FA-D95F-462D-BB9C-DAF88BE992D8.jpg","Variant Image")</f>
      </c>
      <c r="U476" s="0">
        <f>HYPERLINK("https://ec-qa-storage.kldlms.com/Item/08DCF9AF-F3FC-48B6-842D-C03220C0EFBF/0CD03533-EA2D-4B74-9F50-E2A68AF0D4C1.jpg","Thumbnail Image")</f>
      </c>
      <c r="V476" s="0">
        <f>HYPERLINK("https://ec-qa-storage.kldlms.com/ItemGallery/08DCF9AF-F3FC-48B6-842D-C03220C0EFBF/0FD6E0D3-0E87-4D71-8CA7-38680150C45A.jpg","Gallery Image ")</f>
      </c>
      <c r="W476" s="0" t="s">
        <v>22</v>
      </c>
      <c r="X476" s="0" t="s">
        <v>1984</v>
      </c>
    </row>
    <row r="477">
      <c r="A477" s="0" t="s">
        <v>1985</v>
      </c>
      <c r="B477" s="0" t="s">
        <v>1985</v>
      </c>
      <c r="C477" s="0" t="s">
        <v>1986</v>
      </c>
      <c r="D477" s="0" t="s">
        <v>27</v>
      </c>
      <c r="E477" s="0" t="s">
        <v>556</v>
      </c>
      <c r="F477" s="0" t="s">
        <v>557</v>
      </c>
      <c r="G477" s="0" t="s">
        <v>1985</v>
      </c>
      <c r="H477" s="0" t="s">
        <v>1985</v>
      </c>
      <c r="I477" s="0" t="s">
        <v>1987</v>
      </c>
      <c r="J477" s="0" t="s">
        <v>1987</v>
      </c>
      <c r="K477" s="0" t="s">
        <v>1988</v>
      </c>
      <c r="L477" s="0" t="s">
        <v>32</v>
      </c>
      <c r="M477" s="0" t="s">
        <v>33</v>
      </c>
      <c r="N477" s="0" t="s">
        <v>32</v>
      </c>
      <c r="O477" s="0" t="s">
        <v>35</v>
      </c>
      <c r="P477" s="0" t="s">
        <v>527</v>
      </c>
      <c r="Q477" s="0" t="s">
        <v>1988</v>
      </c>
      <c r="R477" s="0" t="s">
        <v>1986</v>
      </c>
      <c r="S477" s="0" t="s">
        <v>32</v>
      </c>
      <c r="T477" s="0">
        <f>HYPERLINK("https://storage.sslt.ae/ItemVariation/08DCF9AF-F406-464F-8400-075DD4FE63C7/934DE8E7-1F04-45B0-B30D-D423A02732FC.jpg","Variant Image")</f>
      </c>
      <c r="U477" s="0">
        <f>HYPERLINK("https://ec-qa-storage.kldlms.com/Item/08DCF9AF-F406-464F-8400-075DD4FE63C7/C9972E90-0F58-42F8-A33F-A8D94BA9911D.jpg","Thumbnail Image")</f>
      </c>
      <c r="V477" s="0">
        <f>HYPERLINK("https://ec-qa-storage.kldlms.com/ItemGallery/08DCF9AF-F406-464F-8400-075DD4FE63C7/01915A97-923F-4934-AC6B-3ED5B7CDACDB.jpg","Gallery Image ")</f>
      </c>
      <c r="W477" s="0" t="s">
        <v>22</v>
      </c>
      <c r="X477" s="0" t="s">
        <v>1989</v>
      </c>
    </row>
    <row r="478">
      <c r="A478" s="0" t="s">
        <v>1990</v>
      </c>
      <c r="B478" s="0" t="s">
        <v>1990</v>
      </c>
      <c r="C478" s="0" t="s">
        <v>1991</v>
      </c>
      <c r="D478" s="0" t="s">
        <v>27</v>
      </c>
      <c r="E478" s="0" t="s">
        <v>88</v>
      </c>
      <c r="F478" s="0" t="s">
        <v>80</v>
      </c>
      <c r="G478" s="0" t="s">
        <v>1990</v>
      </c>
      <c r="H478" s="0" t="s">
        <v>1990</v>
      </c>
      <c r="I478" s="0" t="s">
        <v>1992</v>
      </c>
      <c r="J478" s="0" t="s">
        <v>1992</v>
      </c>
      <c r="K478" s="0" t="s">
        <v>1993</v>
      </c>
      <c r="L478" s="0" t="s">
        <v>32</v>
      </c>
      <c r="M478" s="0" t="s">
        <v>33</v>
      </c>
      <c r="N478" s="0" t="s">
        <v>32</v>
      </c>
      <c r="O478" s="0" t="s">
        <v>35</v>
      </c>
      <c r="P478" s="0" t="s">
        <v>563</v>
      </c>
      <c r="Q478" s="0" t="s">
        <v>1993</v>
      </c>
      <c r="R478" s="0" t="s">
        <v>1991</v>
      </c>
      <c r="S478" s="0" t="s">
        <v>32</v>
      </c>
      <c r="T478" s="0">
        <f>HYPERLINK("https://storage.sslt.ae/ItemVariation/08DCF9AF-FA08-47B7-8BCE-003DBA09B3C6/CD451C85-6228-4FB7-A51B-3580F17C8BBD.jpg","Variant Image")</f>
      </c>
      <c r="U478" s="0">
        <f>HYPERLINK("https://ec-qa-storage.kldlms.com/Item/08DCF9AF-FA08-47B7-8BCE-003DBA09B3C6/08520085-C8AB-427E-8368-4409B2C0E829.jpg","Thumbnail Image")</f>
      </c>
      <c r="V478" s="0">
        <f>HYPERLINK("https://ec-qa-storage.kldlms.com/ItemGallery/08DCF9AF-FA08-47B7-8BCE-003DBA09B3C6/E832A22D-5AAD-40FE-830F-1C29F6ED73EF.jpg","Gallery Image ")</f>
      </c>
      <c r="W478" s="0" t="s">
        <v>22</v>
      </c>
      <c r="X478" s="0" t="s">
        <v>1994</v>
      </c>
    </row>
    <row r="479">
      <c r="A479" s="0" t="s">
        <v>1995</v>
      </c>
      <c r="B479" s="0" t="s">
        <v>1995</v>
      </c>
      <c r="C479" s="0" t="s">
        <v>1996</v>
      </c>
      <c r="D479" s="0" t="s">
        <v>27</v>
      </c>
      <c r="E479" s="0" t="s">
        <v>88</v>
      </c>
      <c r="F479" s="0" t="s">
        <v>80</v>
      </c>
      <c r="G479" s="0" t="s">
        <v>1995</v>
      </c>
      <c r="H479" s="0" t="s">
        <v>1995</v>
      </c>
      <c r="I479" s="0" t="s">
        <v>1997</v>
      </c>
      <c r="J479" s="0" t="s">
        <v>1997</v>
      </c>
      <c r="K479" s="0" t="s">
        <v>1998</v>
      </c>
      <c r="L479" s="0" t="s">
        <v>32</v>
      </c>
      <c r="M479" s="0" t="s">
        <v>33</v>
      </c>
      <c r="N479" s="0" t="s">
        <v>32</v>
      </c>
      <c r="O479" s="0" t="s">
        <v>35</v>
      </c>
      <c r="P479" s="0" t="s">
        <v>39</v>
      </c>
      <c r="Q479" s="0" t="s">
        <v>1998</v>
      </c>
      <c r="R479" s="0" t="s">
        <v>1996</v>
      </c>
      <c r="S479" s="0" t="s">
        <v>32</v>
      </c>
      <c r="T479" s="0">
        <f>HYPERLINK("https://storage.sslt.ae/ItemVariation/08DCF9AF-FA25-4459-86A1-F8B1641E783D/325CE189-67B2-410B-926D-D87023707B48.jpg","Variant Image")</f>
      </c>
      <c r="U479" s="0">
        <f>HYPERLINK("https://ec-qa-storage.kldlms.com/Item/08DCF9AF-FA25-4459-86A1-F8B1641E783D/61C93224-C586-4FAA-87E7-7A0286BACC17.jpg","Thumbnail Image")</f>
      </c>
      <c r="V479" s="0">
        <f>HYPERLINK("https://ec-qa-storage.kldlms.com/ItemGallery/08DCF9AF-FA25-4459-86A1-F8B1641E783D/CA4440C2-FB87-457F-B2CD-0B9B85C26F96.jpg","Gallery Image ")</f>
      </c>
      <c r="W479" s="0" t="s">
        <v>22</v>
      </c>
      <c r="X479" s="0" t="s">
        <v>1999</v>
      </c>
    </row>
    <row r="480">
      <c r="A480" s="0" t="s">
        <v>70</v>
      </c>
      <c r="B480" s="0" t="s">
        <v>70</v>
      </c>
      <c r="C480" s="0" t="s">
        <v>2000</v>
      </c>
      <c r="D480" s="0" t="s">
        <v>27</v>
      </c>
      <c r="E480" s="0" t="s">
        <v>88</v>
      </c>
      <c r="F480" s="0" t="s">
        <v>80</v>
      </c>
      <c r="G480" s="0" t="s">
        <v>70</v>
      </c>
      <c r="H480" s="0" t="s">
        <v>70</v>
      </c>
      <c r="I480" s="0" t="s">
        <v>2001</v>
      </c>
      <c r="J480" s="0" t="s">
        <v>2001</v>
      </c>
      <c r="K480" s="0" t="s">
        <v>2002</v>
      </c>
      <c r="L480" s="0" t="s">
        <v>32</v>
      </c>
      <c r="M480" s="0" t="s">
        <v>33</v>
      </c>
      <c r="N480" s="0" t="s">
        <v>32</v>
      </c>
      <c r="O480" s="0" t="s">
        <v>35</v>
      </c>
      <c r="P480" s="0" t="s">
        <v>327</v>
      </c>
      <c r="Q480" s="0" t="s">
        <v>2002</v>
      </c>
      <c r="R480" s="0" t="s">
        <v>2000</v>
      </c>
      <c r="S480" s="0" t="s">
        <v>32</v>
      </c>
      <c r="T480" s="0">
        <f>HYPERLINK("https://storage.sslt.ae/ItemVariation/08DCF9AF-FA3B-493B-89CF-FF2D078D177B/2BD86253-FBCA-420D-BF9D-123E1BC6820C.jpg","Variant Image")</f>
      </c>
      <c r="U480" s="0">
        <f>HYPERLINK("https://ec-qa-storage.kldlms.com/Item/08DCF9AF-FA3B-493B-89CF-FF2D078D177B/0ACC53A0-C737-4E41-8AB9-677DFCB817D3.jpg","Thumbnail Image")</f>
      </c>
      <c r="V480" s="0">
        <f>HYPERLINK("https://ec-qa-storage.kldlms.com/ItemGallery/08DCF9AF-FA3B-493B-89CF-FF2D078D177B/0911E712-CBFC-48A4-8840-4A29ECB71327.jpg","Gallery Image ")</f>
      </c>
      <c r="W480" s="0" t="s">
        <v>22</v>
      </c>
      <c r="X480" s="0" t="s">
        <v>2003</v>
      </c>
    </row>
    <row r="481">
      <c r="A481" s="0" t="s">
        <v>2004</v>
      </c>
      <c r="B481" s="0" t="s">
        <v>2004</v>
      </c>
      <c r="C481" s="0" t="s">
        <v>2005</v>
      </c>
      <c r="D481" s="0" t="s">
        <v>27</v>
      </c>
      <c r="E481" s="0" t="s">
        <v>88</v>
      </c>
      <c r="F481" s="0" t="s">
        <v>80</v>
      </c>
      <c r="G481" s="0" t="s">
        <v>2004</v>
      </c>
      <c r="H481" s="0" t="s">
        <v>2004</v>
      </c>
      <c r="I481" s="0" t="s">
        <v>2006</v>
      </c>
      <c r="J481" s="0" t="s">
        <v>2006</v>
      </c>
      <c r="K481" s="0" t="s">
        <v>2007</v>
      </c>
      <c r="L481" s="0" t="s">
        <v>32</v>
      </c>
      <c r="M481" s="0" t="s">
        <v>33</v>
      </c>
      <c r="N481" s="0" t="s">
        <v>32</v>
      </c>
      <c r="O481" s="0" t="s">
        <v>35</v>
      </c>
      <c r="P481" s="0" t="s">
        <v>39</v>
      </c>
      <c r="Q481" s="0" t="s">
        <v>2007</v>
      </c>
      <c r="R481" s="0" t="s">
        <v>2005</v>
      </c>
      <c r="S481" s="0" t="s">
        <v>32</v>
      </c>
      <c r="T481" s="0">
        <f>HYPERLINK("https://storage.sslt.ae/ItemVariation/08DCF9AF-FA61-4570-8999-9132BADCED0E/CFE9E281-17D5-4DB8-9295-1FE6DEFB6F98.jpg","Variant Image")</f>
      </c>
      <c r="U481" s="0">
        <f>HYPERLINK("https://ec-qa-storage.kldlms.com/Item/08DCF9AF-FA61-4570-8999-9132BADCED0E/83C91484-5EB6-4652-9544-9E848BD875DF.jpg","Thumbnail Image")</f>
      </c>
      <c r="V481" s="0">
        <f>HYPERLINK("https://ec-qa-storage.kldlms.com/ItemGallery/08DCF9AF-FA61-4570-8999-9132BADCED0E/7424982A-4DE1-4371-90F8-D4FCBEDAED0B.jpg","Gallery Image ")</f>
      </c>
      <c r="W481" s="0" t="s">
        <v>22</v>
      </c>
      <c r="X481" s="0" t="s">
        <v>2008</v>
      </c>
    </row>
    <row r="482">
      <c r="A482" s="0" t="s">
        <v>1995</v>
      </c>
      <c r="B482" s="0" t="s">
        <v>1995</v>
      </c>
      <c r="C482" s="0" t="s">
        <v>2009</v>
      </c>
      <c r="D482" s="0" t="s">
        <v>27</v>
      </c>
      <c r="E482" s="0" t="s">
        <v>88</v>
      </c>
      <c r="F482" s="0" t="s">
        <v>80</v>
      </c>
      <c r="G482" s="0" t="s">
        <v>1995</v>
      </c>
      <c r="H482" s="0" t="s">
        <v>1995</v>
      </c>
      <c r="I482" s="0" t="s">
        <v>2010</v>
      </c>
      <c r="J482" s="0" t="s">
        <v>2010</v>
      </c>
      <c r="K482" s="0" t="s">
        <v>2011</v>
      </c>
      <c r="L482" s="0" t="s">
        <v>32</v>
      </c>
      <c r="M482" s="0" t="s">
        <v>33</v>
      </c>
      <c r="N482" s="0" t="s">
        <v>32</v>
      </c>
      <c r="O482" s="0" t="s">
        <v>35</v>
      </c>
      <c r="P482" s="0" t="s">
        <v>39</v>
      </c>
      <c r="Q482" s="0" t="s">
        <v>2011</v>
      </c>
      <c r="R482" s="0" t="s">
        <v>2009</v>
      </c>
      <c r="S482" s="0" t="s">
        <v>32</v>
      </c>
      <c r="T482" s="0">
        <f>HYPERLINK("https://storage.sslt.ae/ItemVariation/08DCF9AF-FA91-418B-8B4B-4D9B6C1F269C/BF07A8C2-1CBC-4035-8C69-18486B3B3C32.jpg","Variant Image")</f>
      </c>
      <c r="U482" s="0">
        <f>HYPERLINK("https://ec-qa-storage.kldlms.com/Item/08DCF9AF-FA91-418B-8B4B-4D9B6C1F269C/92D041A2-3299-460F-8FB4-A1A5E4DA9078.jpg","Thumbnail Image")</f>
      </c>
      <c r="V482" s="0">
        <f>HYPERLINK("https://ec-qa-storage.kldlms.com/ItemGallery/08DCF9AF-FA91-418B-8B4B-4D9B6C1F269C/D69E7043-AA2E-4586-BCAE-DD4C4629E401.jpg","Gallery Image ")</f>
      </c>
      <c r="W482" s="0" t="s">
        <v>22</v>
      </c>
      <c r="X482" s="0" t="s">
        <v>2012</v>
      </c>
    </row>
    <row r="483">
      <c r="A483" s="0" t="s">
        <v>2013</v>
      </c>
      <c r="B483" s="0" t="s">
        <v>2013</v>
      </c>
      <c r="C483" s="0" t="s">
        <v>2014</v>
      </c>
      <c r="D483" s="0" t="s">
        <v>27</v>
      </c>
      <c r="E483" s="0" t="s">
        <v>88</v>
      </c>
      <c r="F483" s="0" t="s">
        <v>80</v>
      </c>
      <c r="G483" s="0" t="s">
        <v>2013</v>
      </c>
      <c r="H483" s="0" t="s">
        <v>2013</v>
      </c>
      <c r="I483" s="0" t="s">
        <v>2015</v>
      </c>
      <c r="J483" s="0" t="s">
        <v>2015</v>
      </c>
      <c r="K483" s="0" t="s">
        <v>2016</v>
      </c>
      <c r="L483" s="0" t="s">
        <v>32</v>
      </c>
      <c r="M483" s="0" t="s">
        <v>33</v>
      </c>
      <c r="N483" s="0" t="s">
        <v>32</v>
      </c>
      <c r="O483" s="0" t="s">
        <v>35</v>
      </c>
      <c r="P483" s="0" t="s">
        <v>39</v>
      </c>
      <c r="Q483" s="0" t="s">
        <v>2016</v>
      </c>
      <c r="R483" s="0" t="s">
        <v>2014</v>
      </c>
      <c r="S483" s="0" t="s">
        <v>32</v>
      </c>
      <c r="T483" s="0">
        <f>HYPERLINK("https://storage.sslt.ae/ItemVariation/08DCF9AF-FAA6-47BE-8981-65AC9AFE1F93/8EE075CC-D6EA-4D35-B072-8FED8396454B.jpg","Variant Image")</f>
      </c>
      <c r="U483" s="0">
        <f>HYPERLINK("https://ec-qa-storage.kldlms.com/Item/08DCF9AF-FAA6-47BE-8981-65AC9AFE1F93/9CE32F9C-06E6-4534-86FB-4ABEDF4F72DF.jpg","Thumbnail Image")</f>
      </c>
      <c r="V483" s="0">
        <f>HYPERLINK("https://ec-qa-storage.kldlms.com/ItemGallery/08DCF9AF-FAA6-47BE-8981-65AC9AFE1F93/9157025A-0399-48AD-96BC-47AF5FDBA5E7.jpg","Gallery Image ")</f>
      </c>
      <c r="W483" s="0" t="s">
        <v>22</v>
      </c>
      <c r="X483" s="0" t="s">
        <v>2017</v>
      </c>
    </row>
    <row r="484">
      <c r="A484" s="0" t="s">
        <v>47</v>
      </c>
      <c r="B484" s="0" t="s">
        <v>47</v>
      </c>
      <c r="C484" s="0" t="s">
        <v>2018</v>
      </c>
      <c r="D484" s="0" t="s">
        <v>27</v>
      </c>
      <c r="E484" s="0" t="s">
        <v>88</v>
      </c>
      <c r="F484" s="0" t="s">
        <v>80</v>
      </c>
      <c r="G484" s="0" t="s">
        <v>47</v>
      </c>
      <c r="H484" s="0" t="s">
        <v>47</v>
      </c>
      <c r="I484" s="0" t="s">
        <v>2019</v>
      </c>
      <c r="J484" s="0" t="s">
        <v>2019</v>
      </c>
      <c r="K484" s="0" t="s">
        <v>2020</v>
      </c>
      <c r="L484" s="0" t="s">
        <v>32</v>
      </c>
      <c r="M484" s="0" t="s">
        <v>33</v>
      </c>
      <c r="N484" s="0" t="s">
        <v>32</v>
      </c>
      <c r="O484" s="0" t="s">
        <v>35</v>
      </c>
      <c r="P484" s="0" t="s">
        <v>39</v>
      </c>
      <c r="Q484" s="0" t="s">
        <v>2020</v>
      </c>
      <c r="R484" s="0" t="s">
        <v>2018</v>
      </c>
      <c r="S484" s="0" t="s">
        <v>32</v>
      </c>
      <c r="T484" s="0">
        <f>HYPERLINK("https://storage.sslt.ae/ItemVariation/08DCF9AF-FABB-4AE2-86CF-C30029863704/2C212039-F5F9-4E8E-9532-FB81259170B9.jpg","Variant Image")</f>
      </c>
      <c r="U484" s="0">
        <f>HYPERLINK("https://ec-qa-storage.kldlms.com/Item/08DCF9AF-FABB-4AE2-86CF-C30029863704/BCC49991-6FCA-48F4-8FDE-077ECB94901C.jpg","Thumbnail Image")</f>
      </c>
      <c r="V484" s="0">
        <f>HYPERLINK("https://ec-qa-storage.kldlms.com/ItemGallery/08DCF9AF-FABB-4AE2-86CF-C30029863704/26860075-AA40-4D08-9687-9FC297A27888.jpg","Gallery Image ")</f>
      </c>
      <c r="W484" s="0" t="s">
        <v>22</v>
      </c>
      <c r="X484" s="0" t="s">
        <v>2021</v>
      </c>
    </row>
    <row r="485">
      <c r="A485" s="0" t="s">
        <v>70</v>
      </c>
      <c r="B485" s="0" t="s">
        <v>70</v>
      </c>
      <c r="C485" s="0" t="s">
        <v>2022</v>
      </c>
      <c r="D485" s="0" t="s">
        <v>27</v>
      </c>
      <c r="E485" s="0" t="s">
        <v>88</v>
      </c>
      <c r="F485" s="0" t="s">
        <v>80</v>
      </c>
      <c r="G485" s="0" t="s">
        <v>70</v>
      </c>
      <c r="H485" s="0" t="s">
        <v>70</v>
      </c>
      <c r="I485" s="0" t="s">
        <v>2023</v>
      </c>
      <c r="J485" s="0" t="s">
        <v>2023</v>
      </c>
      <c r="K485" s="0" t="s">
        <v>2024</v>
      </c>
      <c r="L485" s="0" t="s">
        <v>32</v>
      </c>
      <c r="M485" s="0" t="s">
        <v>33</v>
      </c>
      <c r="N485" s="0" t="s">
        <v>32</v>
      </c>
      <c r="O485" s="0" t="s">
        <v>35</v>
      </c>
      <c r="P485" s="0" t="s">
        <v>39</v>
      </c>
      <c r="Q485" s="0" t="s">
        <v>2024</v>
      </c>
      <c r="R485" s="0" t="s">
        <v>2022</v>
      </c>
      <c r="S485" s="0" t="s">
        <v>32</v>
      </c>
      <c r="T485" s="0">
        <f>HYPERLINK("https://storage.sslt.ae/ItemVariation/08DCF9AF-FACA-475A-8719-EA96F5C0409D/170E183A-E48E-413C-A00F-99ECFA500F1A.jpg","Variant Image")</f>
      </c>
      <c r="U485" s="0">
        <f>HYPERLINK("https://ec-qa-storage.kldlms.com/Item/08DCF9AF-FACA-475A-8719-EA96F5C0409D/D7ECFD49-B698-40D0-AB62-924BA96AF702.jpg","Thumbnail Image")</f>
      </c>
      <c r="V485" s="0">
        <f>HYPERLINK("https://ec-qa-storage.kldlms.com/ItemGallery/08DCF9AF-FACA-475A-8719-EA96F5C0409D/B2444700-7A3F-4C6E-A41B-45174BB89E5B.jpg","Gallery Image ")</f>
      </c>
      <c r="W485" s="0" t="s">
        <v>22</v>
      </c>
      <c r="X485" s="0" t="s">
        <v>2025</v>
      </c>
    </row>
    <row r="486">
      <c r="A486" s="0" t="s">
        <v>2026</v>
      </c>
      <c r="B486" s="0" t="s">
        <v>2026</v>
      </c>
      <c r="C486" s="0" t="s">
        <v>2027</v>
      </c>
      <c r="D486" s="0" t="s">
        <v>27</v>
      </c>
      <c r="E486" s="0" t="s">
        <v>88</v>
      </c>
      <c r="F486" s="0" t="s">
        <v>80</v>
      </c>
      <c r="G486" s="0" t="s">
        <v>2026</v>
      </c>
      <c r="H486" s="0" t="s">
        <v>2026</v>
      </c>
      <c r="I486" s="0" t="s">
        <v>2028</v>
      </c>
      <c r="J486" s="0" t="s">
        <v>2028</v>
      </c>
      <c r="K486" s="0" t="s">
        <v>2029</v>
      </c>
      <c r="L486" s="0" t="s">
        <v>32</v>
      </c>
      <c r="M486" s="0" t="s">
        <v>33</v>
      </c>
      <c r="N486" s="0" t="s">
        <v>32</v>
      </c>
      <c r="O486" s="0" t="s">
        <v>35</v>
      </c>
      <c r="P486" s="0" t="s">
        <v>39</v>
      </c>
      <c r="Q486" s="0" t="s">
        <v>2029</v>
      </c>
      <c r="R486" s="0" t="s">
        <v>2027</v>
      </c>
      <c r="S486" s="0" t="s">
        <v>32</v>
      </c>
      <c r="T486" s="0">
        <f>HYPERLINK("https://storage.sslt.ae/ItemVariation/08DCF9AF-FAE1-40C6-87B4-3217F2B08DEC/850CAD74-6693-4A58-8775-ACF6DA04B373.jpg","Variant Image")</f>
      </c>
      <c r="U486" s="0">
        <f>HYPERLINK("https://ec-qa-storage.kldlms.com/Item/08DCF9AF-FAE1-40C6-87B4-3217F2B08DEC/4670220E-36BA-41FA-AB7B-182D3015ECF3.jpg","Thumbnail Image")</f>
      </c>
      <c r="V486" s="0">
        <f>HYPERLINK("https://ec-qa-storage.kldlms.com/ItemGallery/08DCF9AF-FAE1-40C6-87B4-3217F2B08DEC/4F378508-B795-4468-ABC2-6FBB1507A2D5.jpg","Gallery Image ")</f>
      </c>
      <c r="W486" s="0" t="s">
        <v>22</v>
      </c>
      <c r="X486" s="0" t="s">
        <v>2030</v>
      </c>
    </row>
    <row r="487">
      <c r="A487" s="0" t="s">
        <v>1995</v>
      </c>
      <c r="B487" s="0" t="s">
        <v>1995</v>
      </c>
      <c r="C487" s="0" t="s">
        <v>2031</v>
      </c>
      <c r="D487" s="0" t="s">
        <v>27</v>
      </c>
      <c r="E487" s="0" t="s">
        <v>88</v>
      </c>
      <c r="F487" s="0" t="s">
        <v>80</v>
      </c>
      <c r="G487" s="0" t="s">
        <v>1995</v>
      </c>
      <c r="H487" s="0" t="s">
        <v>1995</v>
      </c>
      <c r="I487" s="0" t="s">
        <v>2032</v>
      </c>
      <c r="J487" s="0" t="s">
        <v>2032</v>
      </c>
      <c r="K487" s="0" t="s">
        <v>2033</v>
      </c>
      <c r="L487" s="0" t="s">
        <v>32</v>
      </c>
      <c r="M487" s="0" t="s">
        <v>33</v>
      </c>
      <c r="N487" s="0" t="s">
        <v>32</v>
      </c>
      <c r="O487" s="0" t="s">
        <v>35</v>
      </c>
      <c r="P487" s="0" t="s">
        <v>39</v>
      </c>
      <c r="Q487" s="0" t="s">
        <v>2033</v>
      </c>
      <c r="R487" s="0" t="s">
        <v>2031</v>
      </c>
      <c r="S487" s="0" t="s">
        <v>32</v>
      </c>
      <c r="T487" s="0">
        <f>HYPERLINK("https://storage.sslt.ae/ItemVariation/08DCF9AF-FAF4-4FB4-844D-46D30F106246/08396542-1C7D-4CAF-AA69-5BA8A74B9748.jpg","Variant Image")</f>
      </c>
      <c r="U487" s="0">
        <f>HYPERLINK("https://ec-qa-storage.kldlms.com/Item/08DCF9AF-FAF4-4FB4-844D-46D30F106246/B76FC00A-FB64-411D-AC84-A97CF19AA95B.jpg","Thumbnail Image")</f>
      </c>
      <c r="V487" s="0">
        <f>HYPERLINK("https://ec-qa-storage.kldlms.com/ItemGallery/08DCF9AF-FAF4-4FB4-844D-46D30F106246/245CF461-75CF-45AD-B092-EC11288ADE06.jpg","Gallery Image ")</f>
      </c>
      <c r="W487" s="0" t="s">
        <v>22</v>
      </c>
      <c r="X487" s="0" t="s">
        <v>2034</v>
      </c>
    </row>
    <row r="488">
      <c r="A488" s="0" t="s">
        <v>24</v>
      </c>
      <c r="B488" s="0" t="s">
        <v>25</v>
      </c>
      <c r="C488" s="0" t="s">
        <v>2035</v>
      </c>
      <c r="D488" s="0" t="s">
        <v>27</v>
      </c>
      <c r="E488" s="0" t="s">
        <v>88</v>
      </c>
      <c r="F488" s="0" t="s">
        <v>80</v>
      </c>
      <c r="G488" s="0" t="s">
        <v>24</v>
      </c>
      <c r="H488" s="0" t="s">
        <v>24</v>
      </c>
      <c r="I488" s="0" t="s">
        <v>2036</v>
      </c>
      <c r="J488" s="0" t="s">
        <v>2036</v>
      </c>
      <c r="K488" s="0" t="s">
        <v>2037</v>
      </c>
      <c r="L488" s="0" t="s">
        <v>32</v>
      </c>
      <c r="M488" s="0" t="s">
        <v>33</v>
      </c>
      <c r="N488" s="0" t="s">
        <v>32</v>
      </c>
      <c r="O488" s="0" t="s">
        <v>35</v>
      </c>
      <c r="P488" s="0" t="s">
        <v>39</v>
      </c>
      <c r="Q488" s="0" t="s">
        <v>2037</v>
      </c>
      <c r="R488" s="0" t="s">
        <v>2035</v>
      </c>
      <c r="S488" s="0" t="s">
        <v>32</v>
      </c>
      <c r="T488" s="0">
        <f>HYPERLINK("https://storage.sslt.ae/ItemVariation/08DCF9AF-FB03-4BF1-857B-1575D11A2726/62174DCC-2694-4B85-AE99-797D621614AF.jpg","Variant Image")</f>
      </c>
      <c r="U488" s="0">
        <f>HYPERLINK("https://ec-qa-storage.kldlms.com/Item/08DCF9AF-FB03-4BF1-857B-1575D11A2726/80E5F6F8-BDC8-4E4E-A598-5E245F4352BD.jpg","Thumbnail Image")</f>
      </c>
      <c r="V488" s="0">
        <f>HYPERLINK("https://ec-qa-storage.kldlms.com/ItemGallery/08DCF9AF-FB03-4BF1-857B-1575D11A2726/FF08558C-F094-4505-B83D-B74177F21C91.jpg","Gallery Image ")</f>
      </c>
      <c r="W488" s="0" t="s">
        <v>22</v>
      </c>
      <c r="X488" s="0" t="s">
        <v>2038</v>
      </c>
    </row>
    <row r="489">
      <c r="A489" s="0" t="s">
        <v>2013</v>
      </c>
      <c r="B489" s="0" t="s">
        <v>2013</v>
      </c>
      <c r="C489" s="0" t="s">
        <v>2039</v>
      </c>
      <c r="D489" s="0" t="s">
        <v>27</v>
      </c>
      <c r="E489" s="0" t="s">
        <v>88</v>
      </c>
      <c r="F489" s="0" t="s">
        <v>80</v>
      </c>
      <c r="G489" s="0" t="s">
        <v>2013</v>
      </c>
      <c r="H489" s="0" t="s">
        <v>2013</v>
      </c>
      <c r="I489" s="0" t="s">
        <v>2040</v>
      </c>
      <c r="J489" s="0" t="s">
        <v>2040</v>
      </c>
      <c r="K489" s="0" t="s">
        <v>2041</v>
      </c>
      <c r="L489" s="0" t="s">
        <v>32</v>
      </c>
      <c r="M489" s="0" t="s">
        <v>33</v>
      </c>
      <c r="N489" s="0" t="s">
        <v>32</v>
      </c>
      <c r="O489" s="0" t="s">
        <v>35</v>
      </c>
      <c r="P489" s="0" t="s">
        <v>39</v>
      </c>
      <c r="Q489" s="0" t="s">
        <v>2041</v>
      </c>
      <c r="R489" s="0" t="s">
        <v>2039</v>
      </c>
      <c r="S489" s="0" t="s">
        <v>32</v>
      </c>
      <c r="T489" s="0">
        <f>HYPERLINK("https://storage.sslt.ae/ItemVariation/08DCF9AF-FB23-4168-8BDA-66EA4BEFC346/4DBFA2A9-9D3B-4C7B-B1BC-34740040A17B.jpg","Variant Image")</f>
      </c>
      <c r="U489" s="0">
        <f>HYPERLINK("https://ec-qa-storage.kldlms.com/Item/08DCF9AF-FB23-4168-8BDA-66EA4BEFC346/2122D9D4-7B90-47F0-92C4-BEA133A398DD.jpg","Thumbnail Image")</f>
      </c>
      <c r="V489" s="0">
        <f>HYPERLINK("https://ec-qa-storage.kldlms.com/ItemGallery/08DCF9AF-FB23-4168-8BDA-66EA4BEFC346/E77C8A65-00B7-4301-9BF1-A68D2539B3C8.jpg","Gallery Image ")</f>
      </c>
      <c r="W489" s="0" t="s">
        <v>22</v>
      </c>
      <c r="X489" s="0" t="s">
        <v>2042</v>
      </c>
    </row>
    <row r="490">
      <c r="A490" s="0" t="s">
        <v>47</v>
      </c>
      <c r="B490" s="0" t="s">
        <v>2043</v>
      </c>
      <c r="C490" s="0" t="s">
        <v>2044</v>
      </c>
      <c r="D490" s="0" t="s">
        <v>27</v>
      </c>
      <c r="E490" s="0" t="s">
        <v>88</v>
      </c>
      <c r="F490" s="0" t="s">
        <v>80</v>
      </c>
      <c r="G490" s="0" t="s">
        <v>47</v>
      </c>
      <c r="H490" s="0" t="s">
        <v>47</v>
      </c>
      <c r="I490" s="0" t="s">
        <v>50</v>
      </c>
      <c r="J490" s="0" t="s">
        <v>50</v>
      </c>
      <c r="K490" s="0" t="s">
        <v>2045</v>
      </c>
      <c r="L490" s="0" t="s">
        <v>32</v>
      </c>
      <c r="M490" s="0" t="s">
        <v>33</v>
      </c>
      <c r="N490" s="0" t="s">
        <v>32</v>
      </c>
      <c r="O490" s="0" t="s">
        <v>35</v>
      </c>
      <c r="P490" s="0" t="s">
        <v>39</v>
      </c>
      <c r="Q490" s="0" t="s">
        <v>2045</v>
      </c>
      <c r="R490" s="0" t="s">
        <v>2044</v>
      </c>
      <c r="S490" s="0" t="s">
        <v>32</v>
      </c>
      <c r="T490" s="0">
        <f>HYPERLINK("https://storage.sslt.ae/ItemVariation/08DCF9AF-FB66-439A-8808-3D2A2B824F68/CB47D7BB-21EA-4A63-84DC-DB562401AEB3.jpg","Variant Image")</f>
      </c>
      <c r="U490" s="0">
        <f>HYPERLINK("https://ec-qa-storage.kldlms.com/Item/08DCF9AF-FB66-439A-8808-3D2A2B824F68/2B9812B7-018D-499D-AF28-FDDCD3D97B37.jpg","Thumbnail Image")</f>
      </c>
      <c r="V490" s="0">
        <f>HYPERLINK("https://ec-qa-storage.kldlms.com/ItemGallery/08DCF9AF-FB66-439A-8808-3D2A2B824F68/C63D6A14-D579-4219-92D6-F54E6C47750D.jpg","Gallery Image ")</f>
      </c>
      <c r="W490" s="0" t="s">
        <v>22</v>
      </c>
      <c r="X490" s="0" t="s">
        <v>2046</v>
      </c>
    </row>
    <row r="491">
      <c r="A491" s="0" t="s">
        <v>24</v>
      </c>
      <c r="B491" s="0" t="s">
        <v>25</v>
      </c>
      <c r="C491" s="0" t="s">
        <v>2047</v>
      </c>
      <c r="D491" s="0" t="s">
        <v>27</v>
      </c>
      <c r="E491" s="0" t="s">
        <v>88</v>
      </c>
      <c r="F491" s="0" t="s">
        <v>80</v>
      </c>
      <c r="G491" s="0" t="s">
        <v>24</v>
      </c>
      <c r="H491" s="0" t="s">
        <v>24</v>
      </c>
      <c r="I491" s="0" t="s">
        <v>2048</v>
      </c>
      <c r="J491" s="0" t="s">
        <v>2048</v>
      </c>
      <c r="K491" s="0" t="s">
        <v>2049</v>
      </c>
      <c r="L491" s="0" t="s">
        <v>32</v>
      </c>
      <c r="M491" s="0" t="s">
        <v>33</v>
      </c>
      <c r="N491" s="0" t="s">
        <v>32</v>
      </c>
      <c r="O491" s="0" t="s">
        <v>35</v>
      </c>
      <c r="P491" s="0" t="s">
        <v>39</v>
      </c>
      <c r="Q491" s="0" t="s">
        <v>2049</v>
      </c>
      <c r="R491" s="0" t="s">
        <v>2047</v>
      </c>
      <c r="S491" s="0" t="s">
        <v>32</v>
      </c>
      <c r="T491" s="0">
        <f>HYPERLINK("https://storage.sslt.ae/ItemVariation/08DCF9AF-FB9E-437E-8E07-2950FF1D5851/3615D875-70AD-4184-BBE9-F8744211210A.jpg","Variant Image")</f>
      </c>
      <c r="U491" s="0">
        <f>HYPERLINK("https://ec-qa-storage.kldlms.com/Item/08DCF9AF-FB9E-437E-8E07-2950FF1D5851/6EAD1D1F-35EB-4510-B348-0432EC42B729.jpg","Thumbnail Image")</f>
      </c>
      <c r="V491" s="0">
        <f>HYPERLINK("https://ec-qa-storage.kldlms.com/ItemGallery/08DCF9AF-FB9E-437E-8E07-2950FF1D5851/C8EC20B3-8147-4E93-BE15-87211B02252A.jpg","Gallery Image ")</f>
      </c>
      <c r="W491" s="0" t="s">
        <v>22</v>
      </c>
      <c r="X491" s="0" t="s">
        <v>2050</v>
      </c>
    </row>
    <row r="492">
      <c r="A492" s="0" t="s">
        <v>2051</v>
      </c>
      <c r="B492" s="0" t="s">
        <v>2051</v>
      </c>
      <c r="C492" s="0" t="s">
        <v>2052</v>
      </c>
      <c r="D492" s="0" t="s">
        <v>27</v>
      </c>
      <c r="E492" s="0" t="s">
        <v>88</v>
      </c>
      <c r="F492" s="0" t="s">
        <v>80</v>
      </c>
      <c r="G492" s="0" t="s">
        <v>2051</v>
      </c>
      <c r="H492" s="0" t="s">
        <v>2051</v>
      </c>
      <c r="I492" s="0" t="s">
        <v>2053</v>
      </c>
      <c r="J492" s="0" t="s">
        <v>2053</v>
      </c>
      <c r="K492" s="0" t="s">
        <v>2054</v>
      </c>
      <c r="L492" s="0" t="s">
        <v>32</v>
      </c>
      <c r="M492" s="0" t="s">
        <v>33</v>
      </c>
      <c r="N492" s="0" t="s">
        <v>32</v>
      </c>
      <c r="O492" s="0" t="s">
        <v>35</v>
      </c>
      <c r="P492" s="0" t="s">
        <v>39</v>
      </c>
      <c r="Q492" s="0" t="s">
        <v>2054</v>
      </c>
      <c r="R492" s="0" t="s">
        <v>2052</v>
      </c>
      <c r="S492" s="0" t="s">
        <v>32</v>
      </c>
      <c r="T492" s="0">
        <f>HYPERLINK("https://storage.sslt.ae/ItemVariation/08DCF9AF-FBAE-4AF6-8114-CCEB2D3EA686/F60B96BA-6393-476F-841E-F059EAC89C6B.jpg","Variant Image")</f>
      </c>
      <c r="U492" s="0">
        <f>HYPERLINK("https://ec-qa-storage.kldlms.com/Item/08DCF9AF-FBAE-4AF6-8114-CCEB2D3EA686/71261AB0-35E2-45A5-B507-DFFBB9E74F24.jpg","Thumbnail Image")</f>
      </c>
      <c r="V492" s="0">
        <f>HYPERLINK("https://ec-qa-storage.kldlms.com/ItemGallery/08DCF9AF-FBAE-4AF6-8114-CCEB2D3EA686/E1C79E33-425F-4F59-8BAA-BCA186F0B5CA.jpg","Gallery Image ")</f>
      </c>
      <c r="W492" s="0" t="s">
        <v>22</v>
      </c>
      <c r="X492" s="0" t="s">
        <v>2055</v>
      </c>
    </row>
    <row r="493">
      <c r="A493" s="0" t="s">
        <v>2056</v>
      </c>
      <c r="B493" s="0" t="s">
        <v>2056</v>
      </c>
      <c r="C493" s="0" t="s">
        <v>2057</v>
      </c>
      <c r="D493" s="0" t="s">
        <v>27</v>
      </c>
      <c r="E493" s="0" t="s">
        <v>79</v>
      </c>
      <c r="F493" s="0" t="s">
        <v>80</v>
      </c>
      <c r="G493" s="0" t="s">
        <v>2056</v>
      </c>
      <c r="H493" s="0" t="s">
        <v>2056</v>
      </c>
      <c r="I493" s="0" t="s">
        <v>2058</v>
      </c>
      <c r="J493" s="0" t="s">
        <v>2058</v>
      </c>
      <c r="K493" s="0" t="s">
        <v>2059</v>
      </c>
      <c r="L493" s="0" t="s">
        <v>32</v>
      </c>
      <c r="M493" s="0" t="s">
        <v>33</v>
      </c>
      <c r="N493" s="0" t="s">
        <v>32</v>
      </c>
      <c r="O493" s="0" t="s">
        <v>35</v>
      </c>
      <c r="P493" s="0" t="s">
        <v>2060</v>
      </c>
      <c r="Q493" s="0" t="s">
        <v>2059</v>
      </c>
      <c r="R493" s="0" t="s">
        <v>2057</v>
      </c>
      <c r="S493" s="0" t="s">
        <v>32</v>
      </c>
      <c r="T493" s="0">
        <f>HYPERLINK("https://storage.sslt.ae/ItemVariation/08DCF9AF-FF37-4D2B-89C6-01136DE61E72/4A4E83FB-DB2F-4972-8A0C-489B59E85B2C.jpg","Variant Image")</f>
      </c>
      <c r="U493" s="0">
        <f>HYPERLINK("https://ec-qa-storage.kldlms.com/Item/08DCF9AF-FF37-4D2B-89C6-01136DE61E72/C4FED56B-D543-4B9F-BD22-3D10D8054257.jpg","Thumbnail Image")</f>
      </c>
      <c r="V493" s="0">
        <f>HYPERLINK("https://ec-qa-storage.kldlms.com/ItemGallery/08DCF9AF-FF37-4D2B-89C6-01136DE61E72/855F9276-8960-4B2F-9FC0-AB54FB5677FE.jpg","Gallery Image ")</f>
      </c>
      <c r="W493" s="0" t="s">
        <v>22</v>
      </c>
      <c r="X493" s="0" t="s">
        <v>2061</v>
      </c>
    </row>
    <row r="494">
      <c r="A494" s="0" t="s">
        <v>2056</v>
      </c>
      <c r="B494" s="0" t="s">
        <v>2056</v>
      </c>
      <c r="C494" s="0" t="s">
        <v>2062</v>
      </c>
      <c r="D494" s="0" t="s">
        <v>27</v>
      </c>
      <c r="E494" s="0" t="s">
        <v>79</v>
      </c>
      <c r="F494" s="0" t="s">
        <v>80</v>
      </c>
      <c r="G494" s="0" t="s">
        <v>2056</v>
      </c>
      <c r="H494" s="0" t="s">
        <v>2056</v>
      </c>
      <c r="I494" s="0" t="s">
        <v>2063</v>
      </c>
      <c r="J494" s="0" t="s">
        <v>2063</v>
      </c>
      <c r="K494" s="0" t="s">
        <v>2064</v>
      </c>
      <c r="L494" s="0" t="s">
        <v>32</v>
      </c>
      <c r="M494" s="0" t="s">
        <v>33</v>
      </c>
      <c r="N494" s="0" t="s">
        <v>32</v>
      </c>
      <c r="O494" s="0" t="s">
        <v>35</v>
      </c>
      <c r="P494" s="0" t="s">
        <v>39</v>
      </c>
      <c r="Q494" s="0" t="s">
        <v>2064</v>
      </c>
      <c r="R494" s="0" t="s">
        <v>2062</v>
      </c>
      <c r="S494" s="0" t="s">
        <v>32</v>
      </c>
      <c r="T494" s="0">
        <f>HYPERLINK("https://storage.sslt.ae/ItemVariation/08DCF9AF-FF42-488D-8815-C667E3ADA182/3C5EF97F-416B-4027-9DFA-4727C11D867C.jpg","Variant Image")</f>
      </c>
      <c r="U494" s="0">
        <f>HYPERLINK("https://ec-qa-storage.kldlms.com/Item/08DCF9AF-FF42-488D-8815-C667E3ADA182/B8AB9406-0AD1-40AC-948B-9E0181DEE024.jpg","Thumbnail Image")</f>
      </c>
      <c r="V494" s="0">
        <f>HYPERLINK("https://ec-qa-storage.kldlms.com/ItemGallery/08DCF9AF-FF42-488D-8815-C667E3ADA182/5ADD8322-FB4D-4C42-884A-59EBCC237A8A.jpg","Gallery Image ")</f>
      </c>
      <c r="W494" s="0" t="s">
        <v>22</v>
      </c>
      <c r="X494" s="0" t="s">
        <v>2065</v>
      </c>
    </row>
    <row r="495">
      <c r="A495" s="0" t="s">
        <v>2066</v>
      </c>
      <c r="B495" s="0" t="s">
        <v>2066</v>
      </c>
      <c r="C495" s="0" t="s">
        <v>2067</v>
      </c>
      <c r="D495" s="0" t="s">
        <v>27</v>
      </c>
      <c r="E495" s="0" t="s">
        <v>79</v>
      </c>
      <c r="F495" s="0" t="s">
        <v>80</v>
      </c>
      <c r="G495" s="0" t="s">
        <v>2066</v>
      </c>
      <c r="H495" s="0" t="s">
        <v>2066</v>
      </c>
      <c r="I495" s="0" t="s">
        <v>2068</v>
      </c>
      <c r="J495" s="0" t="s">
        <v>2068</v>
      </c>
      <c r="K495" s="0" t="s">
        <v>2069</v>
      </c>
      <c r="L495" s="0" t="s">
        <v>32</v>
      </c>
      <c r="M495" s="0" t="s">
        <v>33</v>
      </c>
      <c r="N495" s="0" t="s">
        <v>32</v>
      </c>
      <c r="O495" s="0" t="s">
        <v>35</v>
      </c>
      <c r="P495" s="0" t="s">
        <v>94</v>
      </c>
      <c r="Q495" s="0" t="s">
        <v>2069</v>
      </c>
      <c r="R495" s="0" t="s">
        <v>2067</v>
      </c>
      <c r="S495" s="0" t="s">
        <v>32</v>
      </c>
      <c r="T495" s="0">
        <f>HYPERLINK("https://storage.sslt.ae/ItemVariation/08DCF9AF-FF52-4F18-8ABF-30CDC1446B0F/028B126B-3571-4C4D-A4E5-EE5099A3C836.jpg","Variant Image")</f>
      </c>
      <c r="U495" s="0">
        <f>HYPERLINK("https://ec-qa-storage.kldlms.com/Item/08DCF9AF-FF52-4F18-8ABF-30CDC1446B0F/0BC94A3A-4B6D-4903-BBF6-2C93D6540F6C.jpg","Thumbnail Image")</f>
      </c>
      <c r="V495" s="0">
        <f>HYPERLINK("https://ec-qa-storage.kldlms.com/ItemGallery/08DCF9AF-FF52-4F18-8ABF-30CDC1446B0F/696B41BD-8B0D-4CD3-8801-7B8FFDF4DE27.jpg","Gallery Image ")</f>
      </c>
      <c r="W495" s="0" t="s">
        <v>22</v>
      </c>
      <c r="X495" s="0" t="s">
        <v>2070</v>
      </c>
    </row>
    <row r="496">
      <c r="A496" s="0" t="s">
        <v>2071</v>
      </c>
      <c r="B496" s="0" t="s">
        <v>2071</v>
      </c>
      <c r="C496" s="0" t="s">
        <v>2072</v>
      </c>
      <c r="D496" s="0" t="s">
        <v>27</v>
      </c>
      <c r="E496" s="0" t="s">
        <v>79</v>
      </c>
      <c r="F496" s="0" t="s">
        <v>80</v>
      </c>
      <c r="G496" s="0" t="s">
        <v>2071</v>
      </c>
      <c r="H496" s="0" t="s">
        <v>2071</v>
      </c>
      <c r="I496" s="0" t="s">
        <v>2073</v>
      </c>
      <c r="J496" s="0" t="s">
        <v>2073</v>
      </c>
      <c r="K496" s="0" t="s">
        <v>2074</v>
      </c>
      <c r="L496" s="0" t="s">
        <v>32</v>
      </c>
      <c r="M496" s="0" t="s">
        <v>33</v>
      </c>
      <c r="N496" s="0" t="s">
        <v>32</v>
      </c>
      <c r="O496" s="0" t="s">
        <v>35</v>
      </c>
      <c r="P496" s="0" t="s">
        <v>1380</v>
      </c>
      <c r="Q496" s="0" t="s">
        <v>2074</v>
      </c>
      <c r="R496" s="0" t="s">
        <v>2072</v>
      </c>
      <c r="S496" s="0" t="s">
        <v>32</v>
      </c>
      <c r="T496" s="0">
        <f>HYPERLINK("https://storage.sslt.ae/ItemVariation/08DCF9AF-FF63-4C06-8299-E73BFD920A40/3E1E02CF-8FAE-4554-8C7B-699D2318F6ED.jpg","Variant Image")</f>
      </c>
      <c r="U496" s="0">
        <f>HYPERLINK("https://ec-qa-storage.kldlms.com/Item/08DCF9AF-FF63-4C06-8299-E73BFD920A40/55BD8E2C-5F62-4068-9441-033B1469CB47.jpg","Thumbnail Image")</f>
      </c>
      <c r="V496" s="0">
        <f>HYPERLINK("https://ec-qa-storage.kldlms.com/ItemGallery/08DCF9AF-FF63-4C06-8299-E73BFD920A40/6C124AB4-40E2-447B-8C6C-F6EF2108DA50.jpg","Gallery Image ")</f>
      </c>
      <c r="W496" s="0" t="s">
        <v>22</v>
      </c>
      <c r="X496" s="0" t="s">
        <v>2075</v>
      </c>
    </row>
    <row r="497">
      <c r="A497" s="0" t="s">
        <v>40</v>
      </c>
      <c r="B497" s="0" t="s">
        <v>40</v>
      </c>
      <c r="C497" s="0" t="s">
        <v>2076</v>
      </c>
      <c r="D497" s="0" t="s">
        <v>27</v>
      </c>
      <c r="E497" s="0" t="s">
        <v>79</v>
      </c>
      <c r="F497" s="0" t="s">
        <v>80</v>
      </c>
      <c r="G497" s="0" t="s">
        <v>40</v>
      </c>
      <c r="H497" s="0" t="s">
        <v>40</v>
      </c>
      <c r="I497" s="0" t="s">
        <v>2077</v>
      </c>
      <c r="J497" s="0" t="s">
        <v>2077</v>
      </c>
      <c r="K497" s="0" t="s">
        <v>2078</v>
      </c>
      <c r="L497" s="0" t="s">
        <v>32</v>
      </c>
      <c r="M497" s="0" t="s">
        <v>33</v>
      </c>
      <c r="N497" s="0" t="s">
        <v>32</v>
      </c>
      <c r="O497" s="0" t="s">
        <v>35</v>
      </c>
      <c r="P497" s="0" t="s">
        <v>1380</v>
      </c>
      <c r="Q497" s="0" t="s">
        <v>2078</v>
      </c>
      <c r="R497" s="0" t="s">
        <v>2076</v>
      </c>
      <c r="S497" s="0" t="s">
        <v>32</v>
      </c>
      <c r="T497" s="0">
        <f>HYPERLINK("https://storage.sslt.ae/ItemVariation/08DCF9AF-FF6E-41B7-85C6-61E0B59F5A1D/2F28C7C3-6590-4D1D-AFBC-36631475C8FB.jpg","Variant Image")</f>
      </c>
      <c r="U497" s="0">
        <f>HYPERLINK("https://ec-qa-storage.kldlms.com/Item/08DCF9AF-FF6E-41B7-85C6-61E0B59F5A1D/27D3D6BB-25BA-415D-BE2A-6CA764FDE5A1.jpg","Thumbnail Image")</f>
      </c>
      <c r="V497" s="0">
        <f>HYPERLINK("https://ec-qa-storage.kldlms.com/ItemGallery/08DCF9AF-FF6E-41B7-85C6-61E0B59F5A1D/5D279A04-598A-4E2A-89BD-8A7C673012FC.jpg","Gallery Image ")</f>
      </c>
      <c r="W497" s="0" t="s">
        <v>22</v>
      </c>
      <c r="X497" s="0" t="s">
        <v>2079</v>
      </c>
    </row>
    <row r="498">
      <c r="A498" s="0" t="s">
        <v>2071</v>
      </c>
      <c r="B498" s="0" t="s">
        <v>2071</v>
      </c>
      <c r="C498" s="0" t="s">
        <v>2080</v>
      </c>
      <c r="D498" s="0" t="s">
        <v>27</v>
      </c>
      <c r="E498" s="0" t="s">
        <v>79</v>
      </c>
      <c r="F498" s="0" t="s">
        <v>80</v>
      </c>
      <c r="G498" s="0" t="s">
        <v>2071</v>
      </c>
      <c r="H498" s="0" t="s">
        <v>2071</v>
      </c>
      <c r="I498" s="0" t="s">
        <v>2081</v>
      </c>
      <c r="J498" s="0" t="s">
        <v>2081</v>
      </c>
      <c r="K498" s="0" t="s">
        <v>2082</v>
      </c>
      <c r="L498" s="0" t="s">
        <v>32</v>
      </c>
      <c r="M498" s="0" t="s">
        <v>33</v>
      </c>
      <c r="N498" s="0" t="s">
        <v>32</v>
      </c>
      <c r="O498" s="0" t="s">
        <v>35</v>
      </c>
      <c r="P498" s="0" t="s">
        <v>2083</v>
      </c>
      <c r="Q498" s="0" t="s">
        <v>2082</v>
      </c>
      <c r="R498" s="0" t="s">
        <v>2080</v>
      </c>
      <c r="S498" s="0" t="s">
        <v>32</v>
      </c>
      <c r="T498" s="0">
        <f>HYPERLINK("https://storage.sslt.ae/ItemVariation/08DCF9AF-FF8D-4305-8594-1B5007AB1BBF/5B07BE3A-C34A-42EF-B5D9-E480C47FBDC2.jpg","Variant Image")</f>
      </c>
      <c r="U498" s="0">
        <f>HYPERLINK("https://ec-qa-storage.kldlms.com/Item/08DCF9AF-FF8D-4305-8594-1B5007AB1BBF/38F002CE-A509-4CC3-BE2E-4EB1851A81C6.jpg","Thumbnail Image")</f>
      </c>
      <c r="V498" s="0">
        <f>HYPERLINK("https://ec-qa-storage.kldlms.com/ItemGallery/08DCF9AF-FF8D-4305-8594-1B5007AB1BBF/CE8D638C-F722-463D-9678-748AEEEB15E5.jpg","Gallery Image ")</f>
      </c>
      <c r="W498" s="0" t="s">
        <v>22</v>
      </c>
      <c r="X498" s="0" t="s">
        <v>2084</v>
      </c>
    </row>
    <row r="499">
      <c r="A499" s="0" t="s">
        <v>40</v>
      </c>
      <c r="B499" s="0" t="s">
        <v>40</v>
      </c>
      <c r="C499" s="0" t="s">
        <v>2085</v>
      </c>
      <c r="D499" s="0" t="s">
        <v>27</v>
      </c>
      <c r="E499" s="0" t="s">
        <v>79</v>
      </c>
      <c r="F499" s="0" t="s">
        <v>80</v>
      </c>
      <c r="G499" s="0" t="s">
        <v>40</v>
      </c>
      <c r="H499" s="0" t="s">
        <v>40</v>
      </c>
      <c r="I499" s="0" t="s">
        <v>2086</v>
      </c>
      <c r="J499" s="0" t="s">
        <v>2086</v>
      </c>
      <c r="K499" s="0" t="s">
        <v>2087</v>
      </c>
      <c r="L499" s="0" t="s">
        <v>32</v>
      </c>
      <c r="M499" s="0" t="s">
        <v>33</v>
      </c>
      <c r="N499" s="0" t="s">
        <v>32</v>
      </c>
      <c r="O499" s="0" t="s">
        <v>35</v>
      </c>
      <c r="P499" s="0" t="s">
        <v>2083</v>
      </c>
      <c r="Q499" s="0" t="s">
        <v>2087</v>
      </c>
      <c r="R499" s="0" t="s">
        <v>2085</v>
      </c>
      <c r="S499" s="0" t="s">
        <v>32</v>
      </c>
      <c r="T499" s="0">
        <f>HYPERLINK("https://storage.sslt.ae/ItemVariation/08DCF9AF-FFA2-4C87-89D5-5F4EC605D50F/17D74F00-E3CF-4E58-ABCE-1D14D0D4ACF7.jpg","Variant Image")</f>
      </c>
      <c r="U499" s="0">
        <f>HYPERLINK("https://ec-qa-storage.kldlms.com/Item/08DCF9AF-FFA2-4C87-89D5-5F4EC605D50F/92250E34-4EEE-45B4-AE5C-2C92A3230966.jpg","Thumbnail Image")</f>
      </c>
      <c r="V499" s="0">
        <f>HYPERLINK("https://ec-qa-storage.kldlms.com/ItemGallery/08DCF9AF-FFA2-4C87-89D5-5F4EC605D50F/47EAE3B8-8041-4500-9CE9-1FAB1F65C03D.jpg","Gallery Image ")</f>
      </c>
      <c r="W499" s="0" t="s">
        <v>22</v>
      </c>
      <c r="X499" s="0" t="s">
        <v>2088</v>
      </c>
    </row>
    <row r="500">
      <c r="A500" s="0" t="s">
        <v>2089</v>
      </c>
      <c r="B500" s="0" t="s">
        <v>2089</v>
      </c>
      <c r="C500" s="0" t="s">
        <v>2090</v>
      </c>
      <c r="D500" s="0" t="s">
        <v>27</v>
      </c>
      <c r="E500" s="0" t="s">
        <v>79</v>
      </c>
      <c r="F500" s="0" t="s">
        <v>80</v>
      </c>
      <c r="G500" s="0" t="s">
        <v>2089</v>
      </c>
      <c r="H500" s="0" t="s">
        <v>2089</v>
      </c>
      <c r="I500" s="0" t="s">
        <v>2091</v>
      </c>
      <c r="J500" s="0" t="s">
        <v>2091</v>
      </c>
      <c r="K500" s="0" t="s">
        <v>2092</v>
      </c>
      <c r="L500" s="0" t="s">
        <v>32</v>
      </c>
      <c r="M500" s="0" t="s">
        <v>33</v>
      </c>
      <c r="N500" s="0" t="s">
        <v>32</v>
      </c>
      <c r="O500" s="0" t="s">
        <v>35</v>
      </c>
      <c r="P500" s="0" t="s">
        <v>39</v>
      </c>
      <c r="Q500" s="0" t="s">
        <v>2092</v>
      </c>
      <c r="R500" s="0" t="s">
        <v>2090</v>
      </c>
      <c r="S500" s="0" t="s">
        <v>32</v>
      </c>
      <c r="T500" s="0">
        <f>HYPERLINK("https://storage.sslt.ae/ItemVariation/08DCF9AF-FFBA-475B-8B29-0D4DB0D1E5DB/0B14B84D-853F-4C06-8680-C330B5E4E4B2.jpg","Variant Image")</f>
      </c>
      <c r="U500" s="0">
        <f>HYPERLINK("https://ec-qa-storage.kldlms.com/Item/08DCF9AF-FFBA-475B-8B29-0D4DB0D1E5DB/167A446B-232E-4A02-A058-42EB807EF258.jpg","Thumbnail Image")</f>
      </c>
      <c r="V500" s="0">
        <f>HYPERLINK("https://ec-qa-storage.kldlms.com/ItemGallery/08DCF9AF-FFBA-475B-8B29-0D4DB0D1E5DB/5D57265A-D0B9-419B-8175-C149FBAE3434.jpg","Gallery Image ")</f>
      </c>
      <c r="W500" s="0" t="s">
        <v>22</v>
      </c>
      <c r="X500" s="0" t="s">
        <v>2093</v>
      </c>
    </row>
    <row r="501">
      <c r="A501" s="0" t="s">
        <v>2094</v>
      </c>
      <c r="B501" s="0" t="s">
        <v>2094</v>
      </c>
      <c r="C501" s="0" t="s">
        <v>2095</v>
      </c>
      <c r="D501" s="0" t="s">
        <v>27</v>
      </c>
      <c r="E501" s="0" t="s">
        <v>79</v>
      </c>
      <c r="F501" s="0" t="s">
        <v>80</v>
      </c>
      <c r="G501" s="0" t="s">
        <v>2094</v>
      </c>
      <c r="H501" s="0" t="s">
        <v>2094</v>
      </c>
      <c r="I501" s="0" t="s">
        <v>2096</v>
      </c>
      <c r="J501" s="0" t="s">
        <v>2096</v>
      </c>
      <c r="K501" s="0" t="s">
        <v>2097</v>
      </c>
      <c r="L501" s="0" t="s">
        <v>32</v>
      </c>
      <c r="M501" s="0" t="s">
        <v>33</v>
      </c>
      <c r="N501" s="0" t="s">
        <v>32</v>
      </c>
      <c r="O501" s="0" t="s">
        <v>35</v>
      </c>
      <c r="P501" s="0" t="s">
        <v>2060</v>
      </c>
      <c r="Q501" s="0" t="s">
        <v>2097</v>
      </c>
      <c r="R501" s="0" t="s">
        <v>2095</v>
      </c>
      <c r="S501" s="0" t="s">
        <v>32</v>
      </c>
      <c r="T501" s="0">
        <f>HYPERLINK("https://storage.sslt.ae/ItemVariation/08DCF9AF-FFD0-4BCF-826F-1B51E6D4741D/71C842B3-DB08-4CE2-A270-00F98C3C8B6E.jpg","Variant Image")</f>
      </c>
      <c r="U501" s="0">
        <f>HYPERLINK("https://ec-qa-storage.kldlms.com/Item/08DCF9AF-FFD0-4BCF-826F-1B51E6D4741D/BA84E969-4F31-41C2-84CE-5A0C87ACE789.jpg","Thumbnail Image")</f>
      </c>
      <c r="V501" s="0">
        <f>HYPERLINK("https://ec-qa-storage.kldlms.com/ItemGallery/08DCF9AF-FFD0-4BCF-826F-1B51E6D4741D/F9CAC8D4-9E33-46F4-8CA7-3BC459DE2C5D.jpg","Gallery Image ")</f>
      </c>
      <c r="W501" s="0" t="s">
        <v>22</v>
      </c>
      <c r="X501" s="0" t="s">
        <v>2098</v>
      </c>
    </row>
    <row r="502">
      <c r="A502" s="0" t="s">
        <v>2094</v>
      </c>
      <c r="B502" s="0" t="s">
        <v>2094</v>
      </c>
      <c r="C502" s="0" t="s">
        <v>2099</v>
      </c>
      <c r="D502" s="0" t="s">
        <v>27</v>
      </c>
      <c r="E502" s="0" t="s">
        <v>79</v>
      </c>
      <c r="F502" s="0" t="s">
        <v>80</v>
      </c>
      <c r="G502" s="0" t="s">
        <v>2094</v>
      </c>
      <c r="H502" s="0" t="s">
        <v>2094</v>
      </c>
      <c r="I502" s="0" t="s">
        <v>2100</v>
      </c>
      <c r="J502" s="0" t="s">
        <v>2100</v>
      </c>
      <c r="K502" s="0" t="s">
        <v>2101</v>
      </c>
      <c r="L502" s="0" t="s">
        <v>32</v>
      </c>
      <c r="M502" s="0" t="s">
        <v>33</v>
      </c>
      <c r="N502" s="0" t="s">
        <v>32</v>
      </c>
      <c r="O502" s="0" t="s">
        <v>35</v>
      </c>
      <c r="P502" s="0" t="s">
        <v>39</v>
      </c>
      <c r="Q502" s="0" t="s">
        <v>2101</v>
      </c>
      <c r="R502" s="0" t="s">
        <v>2099</v>
      </c>
      <c r="S502" s="0" t="s">
        <v>32</v>
      </c>
      <c r="T502" s="0">
        <f>HYPERLINK("https://storage.sslt.ae/ItemVariation/08DCF9AF-FFDC-4E78-868A-146FD68F8DA9/E2F18A2C-B617-47B8-9E01-4308ABD952B3.jpg","Variant Image")</f>
      </c>
      <c r="U502" s="0">
        <f>HYPERLINK("https://ec-qa-storage.kldlms.com/Item/08DCF9AF-FFDC-4E78-868A-146FD68F8DA9/3D779197-301B-417A-B7FF-33F337772944.jpg","Thumbnail Image")</f>
      </c>
      <c r="V502" s="0">
        <f>HYPERLINK("https://ec-qa-storage.kldlms.com/ItemGallery/08DCF9AF-FFDC-4E78-868A-146FD68F8DA9/8DBB96A3-AEC2-40D1-89BE-63827B63ECF6.jpg","Gallery Image ")</f>
      </c>
      <c r="W502" s="0" t="s">
        <v>22</v>
      </c>
      <c r="X502" s="0" t="s">
        <v>2102</v>
      </c>
    </row>
    <row r="503">
      <c r="A503" s="0" t="s">
        <v>2103</v>
      </c>
      <c r="B503" s="0" t="s">
        <v>2103</v>
      </c>
      <c r="C503" s="0" t="s">
        <v>2104</v>
      </c>
      <c r="D503" s="0" t="s">
        <v>27</v>
      </c>
      <c r="E503" s="0" t="s">
        <v>79</v>
      </c>
      <c r="F503" s="0" t="s">
        <v>80</v>
      </c>
      <c r="G503" s="0" t="s">
        <v>2103</v>
      </c>
      <c r="H503" s="0" t="s">
        <v>2103</v>
      </c>
      <c r="I503" s="0" t="s">
        <v>2105</v>
      </c>
      <c r="J503" s="0" t="s">
        <v>2105</v>
      </c>
      <c r="K503" s="0" t="s">
        <v>2106</v>
      </c>
      <c r="L503" s="0" t="s">
        <v>32</v>
      </c>
      <c r="M503" s="0" t="s">
        <v>33</v>
      </c>
      <c r="N503" s="0" t="s">
        <v>32</v>
      </c>
      <c r="O503" s="0" t="s">
        <v>35</v>
      </c>
      <c r="P503" s="0" t="s">
        <v>39</v>
      </c>
      <c r="Q503" s="0" t="s">
        <v>2106</v>
      </c>
      <c r="R503" s="0" t="s">
        <v>2104</v>
      </c>
      <c r="S503" s="0" t="s">
        <v>32</v>
      </c>
      <c r="T503" s="0">
        <f>HYPERLINK("https://storage.sslt.ae/ItemVariation/08DCF9AF-FFF3-42A2-870B-CD833C315630/B48E3B6E-8445-4722-883C-A5FDF91D5E0E.jpg","Variant Image")</f>
      </c>
      <c r="U503" s="0">
        <f>HYPERLINK("https://ec-qa-storage.kldlms.com/Item/08DCF9AF-FFF3-42A2-870B-CD833C315630/85E2AEC4-D217-4B54-98DF-84A860CD020D.jpg","Thumbnail Image")</f>
      </c>
      <c r="V503" s="0">
        <f>HYPERLINK("https://ec-qa-storage.kldlms.com/ItemGallery/08DCF9AF-FFF3-42A2-870B-CD833C315630/73049DE9-52CE-44D7-96EF-BB93C72C0173.jpg","Gallery Image ")</f>
      </c>
      <c r="W503" s="0" t="s">
        <v>22</v>
      </c>
      <c r="X503" s="0" t="s">
        <v>2107</v>
      </c>
    </row>
    <row r="504">
      <c r="A504" s="0" t="s">
        <v>2108</v>
      </c>
      <c r="B504" s="0" t="s">
        <v>2108</v>
      </c>
      <c r="C504" s="0" t="s">
        <v>2109</v>
      </c>
      <c r="D504" s="0" t="s">
        <v>27</v>
      </c>
      <c r="E504" s="0" t="s">
        <v>79</v>
      </c>
      <c r="F504" s="0" t="s">
        <v>80</v>
      </c>
      <c r="G504" s="0" t="s">
        <v>2108</v>
      </c>
      <c r="H504" s="0" t="s">
        <v>2108</v>
      </c>
      <c r="I504" s="0" t="s">
        <v>2110</v>
      </c>
      <c r="J504" s="0" t="s">
        <v>2110</v>
      </c>
      <c r="K504" s="0" t="s">
        <v>2111</v>
      </c>
      <c r="L504" s="0" t="s">
        <v>32</v>
      </c>
      <c r="M504" s="0" t="s">
        <v>33</v>
      </c>
      <c r="N504" s="0" t="s">
        <v>32</v>
      </c>
      <c r="O504" s="0" t="s">
        <v>35</v>
      </c>
      <c r="P504" s="0" t="s">
        <v>39</v>
      </c>
      <c r="Q504" s="0" t="s">
        <v>2111</v>
      </c>
      <c r="R504" s="0" t="s">
        <v>2109</v>
      </c>
      <c r="S504" s="0" t="s">
        <v>32</v>
      </c>
      <c r="T504" s="0">
        <f>HYPERLINK("https://storage.sslt.ae/ItemVariation/08DCF9B0-0003-4EA0-869D-99C096391826/A8C0CBDF-95D0-47B3-AE91-14708C960403.jpg","Variant Image")</f>
      </c>
      <c r="U504" s="0">
        <f>HYPERLINK("https://ec-qa-storage.kldlms.com/Item/08DCF9B0-0003-4EA0-869D-99C096391826/94DF25BE-4A7D-4D3C-A0AC-8E10CE9FAB63.jpg","Thumbnail Image")</f>
      </c>
      <c r="V504" s="0">
        <f>HYPERLINK("https://ec-qa-storage.kldlms.com/ItemGallery/08DCF9B0-0003-4EA0-869D-99C096391826/ACCEE666-514A-477A-93E0-916E3FD6BAFE.jpg","Gallery Image ")</f>
      </c>
      <c r="W504" s="0" t="s">
        <v>22</v>
      </c>
      <c r="X504" s="0" t="s">
        <v>2112</v>
      </c>
    </row>
    <row r="505">
      <c r="A505" s="0" t="s">
        <v>40</v>
      </c>
      <c r="B505" s="0" t="s">
        <v>40</v>
      </c>
      <c r="C505" s="0" t="s">
        <v>2113</v>
      </c>
      <c r="D505" s="0" t="s">
        <v>27</v>
      </c>
      <c r="E505" s="0" t="s">
        <v>79</v>
      </c>
      <c r="F505" s="0" t="s">
        <v>80</v>
      </c>
      <c r="G505" s="0" t="s">
        <v>40</v>
      </c>
      <c r="H505" s="0" t="s">
        <v>40</v>
      </c>
      <c r="I505" s="0" t="s">
        <v>2114</v>
      </c>
      <c r="J505" s="0" t="s">
        <v>2114</v>
      </c>
      <c r="K505" s="0" t="s">
        <v>2115</v>
      </c>
      <c r="L505" s="0" t="s">
        <v>32</v>
      </c>
      <c r="M505" s="0" t="s">
        <v>33</v>
      </c>
      <c r="N505" s="0" t="s">
        <v>32</v>
      </c>
      <c r="O505" s="0" t="s">
        <v>35</v>
      </c>
      <c r="P505" s="0" t="s">
        <v>39</v>
      </c>
      <c r="Q505" s="0" t="s">
        <v>2115</v>
      </c>
      <c r="R505" s="0" t="s">
        <v>2113</v>
      </c>
      <c r="S505" s="0" t="s">
        <v>32</v>
      </c>
      <c r="T505" s="0">
        <f>HYPERLINK("https://storage.sslt.ae/ItemVariation/08DCF9B0-002D-4110-88E9-9100E4FAD4DD/784AC6C5-8067-4C08-A0F5-A782C2249344.jpg","Variant Image")</f>
      </c>
      <c r="U505" s="0">
        <f>HYPERLINK("https://ec-qa-storage.kldlms.com/Item/08DCF9B0-002D-4110-88E9-9100E4FAD4DD/EE0556BD-0294-47C5-B712-610B508519F1.jpg","Thumbnail Image")</f>
      </c>
      <c r="V505" s="0">
        <f>HYPERLINK("https://ec-qa-storage.kldlms.com/ItemGallery/08DCF9B0-002D-4110-88E9-9100E4FAD4DD/5EABFCA2-D152-460C-B1EF-6A80B42F3230.jpg","Gallery Image ")</f>
      </c>
      <c r="W505" s="0" t="s">
        <v>22</v>
      </c>
      <c r="X505" s="0" t="s">
        <v>2116</v>
      </c>
    </row>
    <row r="506">
      <c r="A506" s="0" t="s">
        <v>62</v>
      </c>
      <c r="B506" s="0" t="s">
        <v>62</v>
      </c>
      <c r="C506" s="0" t="s">
        <v>2117</v>
      </c>
      <c r="D506" s="0" t="s">
        <v>27</v>
      </c>
      <c r="E506" s="0" t="s">
        <v>79</v>
      </c>
      <c r="F506" s="0" t="s">
        <v>80</v>
      </c>
      <c r="G506" s="0" t="s">
        <v>62</v>
      </c>
      <c r="H506" s="0" t="s">
        <v>62</v>
      </c>
      <c r="I506" s="0" t="s">
        <v>2118</v>
      </c>
      <c r="J506" s="0" t="s">
        <v>2118</v>
      </c>
      <c r="K506" s="0" t="s">
        <v>2119</v>
      </c>
      <c r="L506" s="0" t="s">
        <v>32</v>
      </c>
      <c r="M506" s="0" t="s">
        <v>33</v>
      </c>
      <c r="N506" s="0" t="s">
        <v>32</v>
      </c>
      <c r="O506" s="0" t="s">
        <v>35</v>
      </c>
      <c r="P506" s="0" t="s">
        <v>1380</v>
      </c>
      <c r="Q506" s="0" t="s">
        <v>2119</v>
      </c>
      <c r="R506" s="0" t="s">
        <v>2117</v>
      </c>
      <c r="S506" s="0" t="s">
        <v>32</v>
      </c>
      <c r="T506" s="0">
        <f>HYPERLINK("https://storage.sslt.ae/ItemVariation/08DCF9B0-004F-402A-86CC-62B86A99A5A1/A48F3DF7-5556-446B-8FD6-C6EBA21BD76E.jpg","Variant Image")</f>
      </c>
      <c r="U506" s="0">
        <f>HYPERLINK("https://ec-qa-storage.kldlms.com/Item/08DCF9B0-004F-402A-86CC-62B86A99A5A1/05053DA6-D4FE-4947-BCE9-A9733409433F.jpg","Thumbnail Image")</f>
      </c>
      <c r="V506" s="0">
        <f>HYPERLINK("https://ec-qa-storage.kldlms.com/ItemGallery/08DCF9B0-004F-402A-86CC-62B86A99A5A1/82CF3BBE-67A1-4653-8900-F5E6D6E5DC79.jpg","Gallery Image ")</f>
      </c>
      <c r="W506" s="0" t="s">
        <v>22</v>
      </c>
      <c r="X506" s="0" t="s">
        <v>2120</v>
      </c>
    </row>
    <row r="507">
      <c r="A507" s="0" t="s">
        <v>62</v>
      </c>
      <c r="B507" s="0" t="s">
        <v>62</v>
      </c>
      <c r="C507" s="0" t="s">
        <v>2121</v>
      </c>
      <c r="D507" s="0" t="s">
        <v>27</v>
      </c>
      <c r="E507" s="0" t="s">
        <v>79</v>
      </c>
      <c r="F507" s="0" t="s">
        <v>80</v>
      </c>
      <c r="G507" s="0" t="s">
        <v>62</v>
      </c>
      <c r="H507" s="0" t="s">
        <v>62</v>
      </c>
      <c r="I507" s="0" t="s">
        <v>2122</v>
      </c>
      <c r="J507" s="0" t="s">
        <v>2122</v>
      </c>
      <c r="K507" s="0" t="s">
        <v>2123</v>
      </c>
      <c r="L507" s="0" t="s">
        <v>32</v>
      </c>
      <c r="M507" s="0" t="s">
        <v>33</v>
      </c>
      <c r="N507" s="0" t="s">
        <v>32</v>
      </c>
      <c r="O507" s="0" t="s">
        <v>35</v>
      </c>
      <c r="P507" s="0" t="s">
        <v>327</v>
      </c>
      <c r="Q507" s="0" t="s">
        <v>2123</v>
      </c>
      <c r="R507" s="0" t="s">
        <v>2121</v>
      </c>
      <c r="S507" s="0" t="s">
        <v>32</v>
      </c>
      <c r="T507" s="0">
        <f>HYPERLINK("https://storage.sslt.ae/ItemVariation/08DCF9B0-0068-4E52-8580-08835D43F780/0478FB55-053C-4E8B-A6B6-7137F904F003.jpg","Variant Image")</f>
      </c>
      <c r="U507" s="0">
        <f>HYPERLINK("https://ec-qa-storage.kldlms.com/Item/08DCF9B0-0068-4E52-8580-08835D43F780/6B915C4A-7DE9-4FE3-A9FA-0EA15022C79B.jpg","Thumbnail Image")</f>
      </c>
      <c r="V507" s="0">
        <f>HYPERLINK("https://ec-qa-storage.kldlms.com/ItemGallery/08DCF9B0-0068-4E52-8580-08835D43F780/59B5B9B7-0113-43F3-A9B2-4330FF7322C2.jpg","Gallery Image ")</f>
      </c>
      <c r="W507" s="0" t="s">
        <v>22</v>
      </c>
      <c r="X507" s="0" t="s">
        <v>2124</v>
      </c>
    </row>
    <row r="508">
      <c r="A508" s="0" t="s">
        <v>62</v>
      </c>
      <c r="B508" s="0" t="s">
        <v>62</v>
      </c>
      <c r="C508" s="0" t="s">
        <v>2125</v>
      </c>
      <c r="D508" s="0" t="s">
        <v>27</v>
      </c>
      <c r="E508" s="0" t="s">
        <v>79</v>
      </c>
      <c r="F508" s="0" t="s">
        <v>80</v>
      </c>
      <c r="G508" s="0" t="s">
        <v>62</v>
      </c>
      <c r="H508" s="0" t="s">
        <v>62</v>
      </c>
      <c r="I508" s="0" t="s">
        <v>2126</v>
      </c>
      <c r="J508" s="0" t="s">
        <v>2126</v>
      </c>
      <c r="K508" s="0" t="s">
        <v>2127</v>
      </c>
      <c r="L508" s="0" t="s">
        <v>32</v>
      </c>
      <c r="M508" s="0" t="s">
        <v>33</v>
      </c>
      <c r="N508" s="0" t="s">
        <v>266</v>
      </c>
      <c r="O508" s="0" t="s">
        <v>35</v>
      </c>
      <c r="P508" s="0" t="s">
        <v>2083</v>
      </c>
      <c r="Q508" s="0" t="s">
        <v>2128</v>
      </c>
      <c r="R508" s="0" t="s">
        <v>2125</v>
      </c>
      <c r="S508" s="0" t="s">
        <v>266</v>
      </c>
      <c r="T508" s="0">
        <f>HYPERLINK("https://storage.sslt.ae/ItemVariation/08DCF9B0-0086-4632-8597-8B516256201A/E773B28B-A99E-41C5-8295-0A6E14332FCB.jpg","Variant Image")</f>
      </c>
      <c r="U508" s="0">
        <f>HYPERLINK("https://ec-qa-storage.kldlms.com/Item/08DCF9B0-0086-4632-8597-8B516256201A/ED5DCC91-A1CC-489F-9BEB-C89BF44C2D9E.jpg","Thumbnail Image")</f>
      </c>
      <c r="V508" s="0">
        <f>HYPERLINK("https://ec-qa-storage.kldlms.com/ItemGallery/08DCF9B0-0086-4632-8597-8B516256201A/D21CC5BE-238E-49A9-A399-274F11CE81B3.jpg","Gallery Image ")</f>
      </c>
      <c r="W508" s="0" t="s">
        <v>22</v>
      </c>
      <c r="X508" s="0" t="s">
        <v>2129</v>
      </c>
    </row>
    <row r="509">
      <c r="A509" s="0" t="s">
        <v>2056</v>
      </c>
      <c r="B509" s="0" t="s">
        <v>2056</v>
      </c>
      <c r="C509" s="0" t="s">
        <v>2130</v>
      </c>
      <c r="D509" s="0" t="s">
        <v>27</v>
      </c>
      <c r="E509" s="0" t="s">
        <v>79</v>
      </c>
      <c r="F509" s="0" t="s">
        <v>80</v>
      </c>
      <c r="G509" s="0" t="s">
        <v>2056</v>
      </c>
      <c r="H509" s="0" t="s">
        <v>2056</v>
      </c>
      <c r="I509" s="0" t="s">
        <v>2063</v>
      </c>
      <c r="J509" s="0" t="s">
        <v>2063</v>
      </c>
      <c r="K509" s="0" t="s">
        <v>2131</v>
      </c>
      <c r="L509" s="0" t="s">
        <v>32</v>
      </c>
      <c r="M509" s="0" t="s">
        <v>33</v>
      </c>
      <c r="N509" s="0" t="s">
        <v>772</v>
      </c>
      <c r="O509" s="0" t="s">
        <v>35</v>
      </c>
      <c r="P509" s="0" t="s">
        <v>39</v>
      </c>
      <c r="Q509" s="0" t="s">
        <v>2132</v>
      </c>
      <c r="R509" s="0" t="s">
        <v>2130</v>
      </c>
      <c r="S509" s="0" t="s">
        <v>772</v>
      </c>
      <c r="T509" s="0">
        <f>HYPERLINK("https://storage.sslt.ae/ItemVariation/08DCF9B0-009D-47D7-8156-7C27B4CF36B6/93613A7A-7460-4C0B-BE56-C981981F394C.jpg","Variant Image")</f>
      </c>
      <c r="U509" s="0">
        <f>HYPERLINK("https://ec-qa-storage.kldlms.com/Item/08DCF9B0-009D-47D7-8156-7C27B4CF36B6/09A750DC-89DE-4C75-A485-7023BA6EE065.jpg","Thumbnail Image")</f>
      </c>
      <c r="V509" s="0">
        <f>HYPERLINK("https://ec-qa-storage.kldlms.com/ItemGallery/08DCF9B0-009D-47D7-8156-7C27B4CF36B6/5E53E83B-592B-402C-ACAC-9903AC7B0517.jpg","Gallery Image ")</f>
      </c>
      <c r="W509" s="0" t="s">
        <v>22</v>
      </c>
      <c r="X509" s="0" t="s">
        <v>2133</v>
      </c>
    </row>
    <row r="510">
      <c r="A510" s="0" t="s">
        <v>77</v>
      </c>
      <c r="B510" s="0" t="s">
        <v>77</v>
      </c>
      <c r="C510" s="0" t="s">
        <v>2134</v>
      </c>
      <c r="D510" s="0" t="s">
        <v>27</v>
      </c>
      <c r="E510" s="0" t="s">
        <v>79</v>
      </c>
      <c r="F510" s="0" t="s">
        <v>80</v>
      </c>
      <c r="G510" s="0" t="s">
        <v>77</v>
      </c>
      <c r="H510" s="0" t="s">
        <v>77</v>
      </c>
      <c r="I510" s="0" t="s">
        <v>2135</v>
      </c>
      <c r="J510" s="0" t="s">
        <v>2135</v>
      </c>
      <c r="K510" s="0" t="s">
        <v>2136</v>
      </c>
      <c r="L510" s="0" t="s">
        <v>32</v>
      </c>
      <c r="M510" s="0" t="s">
        <v>33</v>
      </c>
      <c r="N510" s="0" t="s">
        <v>100</v>
      </c>
      <c r="O510" s="0" t="s">
        <v>35</v>
      </c>
      <c r="P510" s="0" t="s">
        <v>94</v>
      </c>
      <c r="Q510" s="0" t="s">
        <v>2137</v>
      </c>
      <c r="R510" s="0" t="s">
        <v>2134</v>
      </c>
      <c r="S510" s="0" t="s">
        <v>100</v>
      </c>
      <c r="T510" s="0">
        <f>HYPERLINK("https://storage.sslt.ae/ItemVariation/08DCF9B0-00CB-4D8E-8048-4C105AB004A8/30AC7E68-9E62-400A-A7E7-78E35B9B355F.jpg","Variant Image")</f>
      </c>
      <c r="U510" s="0">
        <f>HYPERLINK("https://ec-qa-storage.kldlms.com/Item/08DCF9B0-00CB-4D8E-8048-4C105AB004A8/3B69D659-80E7-4A37-A975-BD8F84D64AF2.jpg","Thumbnail Image")</f>
      </c>
      <c r="V510" s="0">
        <f>HYPERLINK("https://ec-qa-storage.kldlms.com/ItemGallery/08DCF9B0-00CB-4D8E-8048-4C105AB004A8/099CB903-6449-4FD7-999F-ED6C1983F8B7.jpg","Gallery Image ")</f>
      </c>
      <c r="W510" s="0" t="s">
        <v>22</v>
      </c>
      <c r="X510" s="0" t="s">
        <v>2138</v>
      </c>
    </row>
    <row r="511">
      <c r="A511" s="0" t="s">
        <v>2094</v>
      </c>
      <c r="B511" s="0" t="s">
        <v>2094</v>
      </c>
      <c r="C511" s="0" t="s">
        <v>2139</v>
      </c>
      <c r="D511" s="0" t="s">
        <v>27</v>
      </c>
      <c r="E511" s="0" t="s">
        <v>79</v>
      </c>
      <c r="F511" s="0" t="s">
        <v>80</v>
      </c>
      <c r="G511" s="0" t="s">
        <v>2094</v>
      </c>
      <c r="H511" s="0" t="s">
        <v>2094</v>
      </c>
      <c r="I511" s="0" t="s">
        <v>2140</v>
      </c>
      <c r="J511" s="0" t="s">
        <v>2140</v>
      </c>
      <c r="K511" s="0" t="s">
        <v>2141</v>
      </c>
      <c r="L511" s="0" t="s">
        <v>32</v>
      </c>
      <c r="M511" s="0" t="s">
        <v>33</v>
      </c>
      <c r="N511" s="0" t="s">
        <v>83</v>
      </c>
      <c r="O511" s="0" t="s">
        <v>35</v>
      </c>
      <c r="P511" s="0" t="s">
        <v>39</v>
      </c>
      <c r="Q511" s="0" t="s">
        <v>2142</v>
      </c>
      <c r="R511" s="0" t="s">
        <v>2139</v>
      </c>
      <c r="S511" s="0" t="s">
        <v>83</v>
      </c>
      <c r="T511" s="0">
        <f>HYPERLINK("https://storage.sslt.ae/ItemVariation/08DCF9B0-00E6-4FC1-8863-BB4463640E15/17A92754-56BA-408D-A7CB-8BB935087EF8.jpg","Variant Image")</f>
      </c>
      <c r="U511" s="0">
        <f>HYPERLINK("https://ec-qa-storage.kldlms.com/Item/08DCF9B0-00E6-4FC1-8863-BB4463640E15/9BC51E9D-F566-4834-AFE0-F31406F7D434.jpg","Thumbnail Image")</f>
      </c>
      <c r="V511" s="0">
        <f>HYPERLINK("https://ec-qa-storage.kldlms.com/ItemGallery/08DCF9B0-00E6-4FC1-8863-BB4463640E15/71FECB7F-38AD-4B62-B850-C839D1EDD7D4.jpg","Gallery Image ")</f>
      </c>
      <c r="W511" s="0" t="s">
        <v>22</v>
      </c>
      <c r="X511" s="0" t="s">
        <v>2143</v>
      </c>
    </row>
    <row r="512">
      <c r="A512" s="0" t="s">
        <v>2144</v>
      </c>
      <c r="B512" s="0" t="s">
        <v>2144</v>
      </c>
      <c r="C512" s="0" t="s">
        <v>1155</v>
      </c>
      <c r="D512" s="0" t="s">
        <v>27</v>
      </c>
      <c r="E512" s="0" t="s">
        <v>79</v>
      </c>
      <c r="F512" s="0" t="s">
        <v>80</v>
      </c>
      <c r="G512" s="0" t="s">
        <v>2144</v>
      </c>
      <c r="H512" s="0" t="s">
        <v>2144</v>
      </c>
      <c r="I512" s="0" t="s">
        <v>2145</v>
      </c>
      <c r="J512" s="0" t="s">
        <v>2145</v>
      </c>
      <c r="K512" s="0" t="s">
        <v>1154</v>
      </c>
      <c r="L512" s="0" t="s">
        <v>32</v>
      </c>
      <c r="M512" s="0" t="s">
        <v>33</v>
      </c>
      <c r="N512" s="0" t="s">
        <v>164</v>
      </c>
      <c r="O512" s="0" t="s">
        <v>35</v>
      </c>
      <c r="P512" s="0" t="s">
        <v>1380</v>
      </c>
      <c r="Q512" s="0" t="s">
        <v>2146</v>
      </c>
      <c r="R512" s="0" t="s">
        <v>1155</v>
      </c>
      <c r="S512" s="0" t="s">
        <v>164</v>
      </c>
      <c r="T512" s="0">
        <f>HYPERLINK("https://storage.sslt.ae/ItemVariation/08DCF9B0-00F8-4396-82C4-AC995129AFAC/0ED808FC-7B32-43B3-A437-567C85E7ED50.jpg","Variant Image")</f>
      </c>
      <c r="U512" s="0">
        <f>HYPERLINK("https://ec-qa-storage.kldlms.com/Item/08DCF9B0-00F8-4396-82C4-AC995129AFAC/7F9B3943-1CE0-4F19-A673-DC98802AB0E7.jpg","Thumbnail Image")</f>
      </c>
      <c r="V512" s="0">
        <f>HYPERLINK("https://ec-qa-storage.kldlms.com/ItemGallery/08DCF9B0-00F8-4396-82C4-AC995129AFAC/D7D3289A-C511-4A76-8641-6407502CC6E6.jpg","Gallery Image ")</f>
      </c>
      <c r="W512" s="0" t="s">
        <v>22</v>
      </c>
      <c r="X512" s="0" t="s">
        <v>1156</v>
      </c>
    </row>
    <row r="513">
      <c r="A513" s="0" t="s">
        <v>2144</v>
      </c>
      <c r="B513" s="0" t="s">
        <v>2144</v>
      </c>
      <c r="C513" s="0" t="s">
        <v>1151</v>
      </c>
      <c r="D513" s="0" t="s">
        <v>27</v>
      </c>
      <c r="E513" s="0" t="s">
        <v>79</v>
      </c>
      <c r="F513" s="0" t="s">
        <v>80</v>
      </c>
      <c r="G513" s="0" t="s">
        <v>2144</v>
      </c>
      <c r="H513" s="0" t="s">
        <v>2144</v>
      </c>
      <c r="I513" s="0" t="s">
        <v>2147</v>
      </c>
      <c r="J513" s="0" t="s">
        <v>2147</v>
      </c>
      <c r="K513" s="0" t="s">
        <v>2148</v>
      </c>
      <c r="L513" s="0" t="s">
        <v>32</v>
      </c>
      <c r="M513" s="0" t="s">
        <v>33</v>
      </c>
      <c r="N513" s="0" t="s">
        <v>280</v>
      </c>
      <c r="O513" s="0" t="s">
        <v>35</v>
      </c>
      <c r="P513" s="0" t="s">
        <v>2060</v>
      </c>
      <c r="Q513" s="0" t="s">
        <v>2149</v>
      </c>
      <c r="R513" s="0" t="s">
        <v>1151</v>
      </c>
      <c r="S513" s="0" t="s">
        <v>280</v>
      </c>
      <c r="T513" s="0">
        <f>HYPERLINK("https://storage.sslt.ae/ItemVariation/08DCF9B0-0108-4F5E-8084-6C8E8A38E2FA/ED89BDC7-A35E-4D27-83C1-229F4270455D.jpg","Variant Image")</f>
      </c>
      <c r="U513" s="0">
        <f>HYPERLINK("https://ec-qa-storage.kldlms.com/Item/08DCF9B0-0108-4F5E-8084-6C8E8A38E2FA/29673839-9DB2-438A-B4C1-F3AC7628023E.jpg","Thumbnail Image")</f>
      </c>
      <c r="V513" s="0">
        <f>HYPERLINK("https://ec-qa-storage.kldlms.com/ItemGallery/08DCF9B0-0108-4F5E-8084-6C8E8A38E2FA/EF9ED1FF-3CEE-48B4-BE07-3E46F8F54259.jpg","Gallery Image ")</f>
      </c>
      <c r="W513" s="0" t="s">
        <v>22</v>
      </c>
      <c r="X513" s="0" t="s">
        <v>1152</v>
      </c>
    </row>
    <row r="514">
      <c r="A514" s="0" t="s">
        <v>2150</v>
      </c>
      <c r="B514" s="0" t="s">
        <v>2150</v>
      </c>
      <c r="C514" s="0" t="s">
        <v>2151</v>
      </c>
      <c r="D514" s="0" t="s">
        <v>27</v>
      </c>
      <c r="E514" s="0" t="s">
        <v>79</v>
      </c>
      <c r="F514" s="0" t="s">
        <v>80</v>
      </c>
      <c r="G514" s="0" t="s">
        <v>2150</v>
      </c>
      <c r="H514" s="0" t="s">
        <v>2150</v>
      </c>
      <c r="I514" s="0" t="s">
        <v>2152</v>
      </c>
      <c r="J514" s="0" t="s">
        <v>2152</v>
      </c>
      <c r="K514" s="0" t="s">
        <v>2153</v>
      </c>
      <c r="L514" s="0" t="s">
        <v>32</v>
      </c>
      <c r="M514" s="0" t="s">
        <v>33</v>
      </c>
      <c r="N514" s="0" t="s">
        <v>110</v>
      </c>
      <c r="O514" s="0" t="s">
        <v>35</v>
      </c>
      <c r="P514" s="0" t="s">
        <v>2083</v>
      </c>
      <c r="Q514" s="0" t="s">
        <v>2154</v>
      </c>
      <c r="R514" s="0" t="s">
        <v>2151</v>
      </c>
      <c r="S514" s="0" t="s">
        <v>110</v>
      </c>
      <c r="T514" s="0">
        <f>HYPERLINK("https://storage.sslt.ae/ItemVariation/08DCF9B0-0113-4C78-819E-39F284062DDD/9B88A910-C0EA-4E55-B22B-7DAC976302FB.jpg","Variant Image")</f>
      </c>
      <c r="U514" s="0">
        <f>HYPERLINK("https://ec-qa-storage.kldlms.com/Item/08DCF9B0-0113-4C78-819E-39F284062DDD/99DB4D40-D949-4ED0-94A9-FA6E3C30038F.jpg","Thumbnail Image")</f>
      </c>
      <c r="V514" s="0">
        <f>HYPERLINK("https://ec-qa-storage.kldlms.com/ItemGallery/08DCF9B0-0113-4C78-819E-39F284062DDD/358C4ADB-EF5A-444E-847D-87B070BB3BF1.jpg","Gallery Image ")</f>
      </c>
      <c r="W514" s="0" t="s">
        <v>22</v>
      </c>
      <c r="X514" s="0" t="s">
        <v>2155</v>
      </c>
    </row>
    <row r="515">
      <c r="A515" s="0" t="s">
        <v>2071</v>
      </c>
      <c r="B515" s="0" t="s">
        <v>2071</v>
      </c>
      <c r="C515" s="0" t="s">
        <v>2156</v>
      </c>
      <c r="D515" s="0" t="s">
        <v>27</v>
      </c>
      <c r="E515" s="0" t="s">
        <v>79</v>
      </c>
      <c r="F515" s="0" t="s">
        <v>80</v>
      </c>
      <c r="G515" s="0" t="s">
        <v>2071</v>
      </c>
      <c r="H515" s="0" t="s">
        <v>2071</v>
      </c>
      <c r="I515" s="0" t="s">
        <v>2157</v>
      </c>
      <c r="J515" s="0" t="s">
        <v>2157</v>
      </c>
      <c r="K515" s="0" t="s">
        <v>2158</v>
      </c>
      <c r="L515" s="0" t="s">
        <v>32</v>
      </c>
      <c r="M515" s="0" t="s">
        <v>33</v>
      </c>
      <c r="N515" s="0" t="s">
        <v>2159</v>
      </c>
      <c r="O515" s="0" t="s">
        <v>35</v>
      </c>
      <c r="P515" s="0" t="s">
        <v>39</v>
      </c>
      <c r="Q515" s="0" t="s">
        <v>2160</v>
      </c>
      <c r="R515" s="0" t="s">
        <v>2156</v>
      </c>
      <c r="S515" s="0" t="s">
        <v>2159</v>
      </c>
      <c r="T515" s="0">
        <f>HYPERLINK("https://storage.sslt.ae/ItemVariation/08DCF9B0-014B-48E2-8ED6-9AB1FB64F0E7/042429FA-FA49-4CAA-A192-337809018FB4.jpg","Variant Image")</f>
      </c>
      <c r="U515" s="0">
        <f>HYPERLINK("https://ec-qa-storage.kldlms.com/Item/08DCF9B0-014B-48E2-8ED6-9AB1FB64F0E7/F4150AAC-5A4A-4B8D-9492-6306354C1DC0.jpg","Thumbnail Image")</f>
      </c>
      <c r="V515" s="0">
        <f>HYPERLINK("https://ec-qa-storage.kldlms.com/ItemGallery/08DCF9B0-014B-48E2-8ED6-9AB1FB64F0E7/84A09514-D892-4C73-BFA5-05E277EB8F34.jpg","Gallery Image ")</f>
      </c>
      <c r="W515" s="0" t="s">
        <v>22</v>
      </c>
      <c r="X515" s="0" t="s">
        <v>2161</v>
      </c>
    </row>
    <row r="516">
      <c r="A516" s="0" t="s">
        <v>2162</v>
      </c>
      <c r="B516" s="0" t="s">
        <v>2162</v>
      </c>
      <c r="C516" s="0" t="s">
        <v>2163</v>
      </c>
      <c r="D516" s="0" t="s">
        <v>27</v>
      </c>
      <c r="E516" s="0" t="s">
        <v>79</v>
      </c>
      <c r="F516" s="0" t="s">
        <v>80</v>
      </c>
      <c r="G516" s="0" t="s">
        <v>2162</v>
      </c>
      <c r="H516" s="0" t="s">
        <v>2162</v>
      </c>
      <c r="I516" s="0" t="s">
        <v>2164</v>
      </c>
      <c r="J516" s="0" t="s">
        <v>2164</v>
      </c>
      <c r="K516" s="0" t="s">
        <v>2165</v>
      </c>
      <c r="L516" s="0" t="s">
        <v>32</v>
      </c>
      <c r="M516" s="0" t="s">
        <v>33</v>
      </c>
      <c r="N516" s="0" t="s">
        <v>533</v>
      </c>
      <c r="O516" s="0" t="s">
        <v>35</v>
      </c>
      <c r="P516" s="0" t="s">
        <v>39</v>
      </c>
      <c r="Q516" s="0" t="s">
        <v>2166</v>
      </c>
      <c r="R516" s="0" t="s">
        <v>2163</v>
      </c>
      <c r="S516" s="0" t="s">
        <v>533</v>
      </c>
      <c r="T516" s="0">
        <f>HYPERLINK("https://storage.sslt.ae/ItemVariation/08DCF9B0-0162-4B8B-89F4-7675C6CCB096/5754F25E-66F8-452F-8052-974885FB3748.jpg","Variant Image")</f>
      </c>
      <c r="U516" s="0">
        <f>HYPERLINK("https://ec-qa-storage.kldlms.com/Item/08DCF9B0-0162-4B8B-89F4-7675C6CCB096/0AB1D973-DCE5-41E5-A71F-D54440C75EC7.jpg","Thumbnail Image")</f>
      </c>
      <c r="V516" s="0">
        <f>HYPERLINK("https://ec-qa-storage.kldlms.com/ItemGallery/08DCF9B0-0162-4B8B-89F4-7675C6CCB096/E936E9A0-E922-4087-AE60-947098D3822A.jpg","Gallery Image ")</f>
      </c>
      <c r="W516" s="0" t="s">
        <v>22</v>
      </c>
      <c r="X516" s="0" t="s">
        <v>2167</v>
      </c>
    </row>
    <row r="517">
      <c r="A517" s="0" t="s">
        <v>2168</v>
      </c>
      <c r="B517" s="0" t="s">
        <v>2168</v>
      </c>
      <c r="C517" s="0" t="s">
        <v>2169</v>
      </c>
      <c r="D517" s="0" t="s">
        <v>27</v>
      </c>
      <c r="E517" s="0" t="s">
        <v>79</v>
      </c>
      <c r="F517" s="0" t="s">
        <v>80</v>
      </c>
      <c r="G517" s="0" t="s">
        <v>2168</v>
      </c>
      <c r="H517" s="0" t="s">
        <v>2168</v>
      </c>
      <c r="I517" s="0" t="s">
        <v>2170</v>
      </c>
      <c r="J517" s="0" t="s">
        <v>2170</v>
      </c>
      <c r="K517" s="0" t="s">
        <v>1129</v>
      </c>
      <c r="L517" s="0" t="s">
        <v>32</v>
      </c>
      <c r="M517" s="0" t="s">
        <v>33</v>
      </c>
      <c r="N517" s="0" t="s">
        <v>2171</v>
      </c>
      <c r="O517" s="0" t="s">
        <v>35</v>
      </c>
      <c r="P517" s="0" t="s">
        <v>39</v>
      </c>
      <c r="Q517" s="0" t="s">
        <v>2172</v>
      </c>
      <c r="R517" s="0" t="s">
        <v>2169</v>
      </c>
      <c r="S517" s="0" t="s">
        <v>2171</v>
      </c>
      <c r="T517" s="0">
        <f>HYPERLINK("https://storage.sslt.ae/ItemVariation/08DCF9B0-017F-4022-8554-7EB3ABFC60E8/34332268-F4E1-44FD-AF26-3715F5BA57B2.jpg","Variant Image")</f>
      </c>
      <c r="U517" s="0">
        <f>HYPERLINK("https://ec-qa-storage.kldlms.com/Item/08DCF9B0-017F-4022-8554-7EB3ABFC60E8/14A04401-750D-45DC-A1A4-86939E7209F9.jpg","Thumbnail Image")</f>
      </c>
      <c r="V517" s="0">
        <f>HYPERLINK("https://ec-qa-storage.kldlms.com/ItemGallery/08DCF9B0-017F-4022-8554-7EB3ABFC60E8/33D38D64-B492-4827-9501-0AA03612AE8C.jpg","Gallery Image ")</f>
      </c>
      <c r="W517" s="0" t="s">
        <v>22</v>
      </c>
      <c r="X517" s="0" t="s">
        <v>2173</v>
      </c>
    </row>
    <row r="518">
      <c r="A518" s="0" t="s">
        <v>2174</v>
      </c>
      <c r="B518" s="0" t="s">
        <v>2174</v>
      </c>
      <c r="C518" s="0" t="s">
        <v>2175</v>
      </c>
      <c r="D518" s="0" t="s">
        <v>27</v>
      </c>
      <c r="E518" s="0" t="s">
        <v>79</v>
      </c>
      <c r="F518" s="0" t="s">
        <v>80</v>
      </c>
      <c r="G518" s="0" t="s">
        <v>2174</v>
      </c>
      <c r="H518" s="0" t="s">
        <v>2174</v>
      </c>
      <c r="I518" s="0" t="s">
        <v>2176</v>
      </c>
      <c r="J518" s="0" t="s">
        <v>2176</v>
      </c>
      <c r="K518" s="0" t="s">
        <v>2177</v>
      </c>
      <c r="L518" s="0" t="s">
        <v>32</v>
      </c>
      <c r="M518" s="0" t="s">
        <v>33</v>
      </c>
      <c r="N518" s="0" t="s">
        <v>2178</v>
      </c>
      <c r="O518" s="0" t="s">
        <v>35</v>
      </c>
      <c r="P518" s="0" t="s">
        <v>39</v>
      </c>
      <c r="Q518" s="0" t="s">
        <v>2179</v>
      </c>
      <c r="R518" s="0" t="s">
        <v>2175</v>
      </c>
      <c r="S518" s="0" t="s">
        <v>2178</v>
      </c>
      <c r="T518" s="0">
        <f>HYPERLINK("https://storage.sslt.ae/ItemVariation/08DCF9B0-0196-4797-84F5-1516689E0205/8C32506C-C7ED-46CE-974F-6155B485DA48.jpg","Variant Image")</f>
      </c>
      <c r="U518" s="0">
        <f>HYPERLINK("https://ec-qa-storage.kldlms.com/Item/08DCF9B0-0196-4797-84F5-1516689E0205/3F7A4415-7FCA-4E92-AB04-20EAEFA3932E.jpg","Thumbnail Image")</f>
      </c>
      <c r="V518" s="0">
        <f>HYPERLINK("https://ec-qa-storage.kldlms.com/ItemGallery/08DCF9B0-0196-4797-84F5-1516689E0205/B4BC87E0-BFEC-4DF6-A8FE-12A91B3190F6.jpg","Gallery Image ")</f>
      </c>
      <c r="W518" s="0" t="s">
        <v>22</v>
      </c>
      <c r="X518" s="0" t="s">
        <v>2180</v>
      </c>
    </row>
    <row r="519">
      <c r="A519" s="0" t="s">
        <v>2181</v>
      </c>
      <c r="B519" s="0" t="s">
        <v>2181</v>
      </c>
      <c r="C519" s="0" t="s">
        <v>2182</v>
      </c>
      <c r="D519" s="0" t="s">
        <v>27</v>
      </c>
      <c r="E519" s="0" t="s">
        <v>79</v>
      </c>
      <c r="F519" s="0" t="s">
        <v>80</v>
      </c>
      <c r="G519" s="0" t="s">
        <v>2181</v>
      </c>
      <c r="H519" s="0" t="s">
        <v>2181</v>
      </c>
      <c r="I519" s="0" t="s">
        <v>2183</v>
      </c>
      <c r="J519" s="0" t="s">
        <v>2183</v>
      </c>
      <c r="K519" s="0" t="s">
        <v>2184</v>
      </c>
      <c r="L519" s="0" t="s">
        <v>32</v>
      </c>
      <c r="M519" s="0" t="s">
        <v>33</v>
      </c>
      <c r="N519" s="0" t="s">
        <v>2185</v>
      </c>
      <c r="O519" s="0" t="s">
        <v>35</v>
      </c>
      <c r="P519" s="0" t="s">
        <v>39</v>
      </c>
      <c r="Q519" s="0" t="s">
        <v>2186</v>
      </c>
      <c r="R519" s="0" t="s">
        <v>2182</v>
      </c>
      <c r="S519" s="0" t="s">
        <v>2185</v>
      </c>
      <c r="T519" s="0">
        <f>HYPERLINK("https://storage.sslt.ae/ItemVariation/08DCF9B0-01B4-416A-82B8-161754DEC0ED/83ABC6D4-2CE1-4DE7-B90D-896DB38F6C52.jpg","Variant Image")</f>
      </c>
      <c r="U519" s="0">
        <f>HYPERLINK("https://ec-qa-storage.kldlms.com/Item/08DCF9B0-01B4-416A-82B8-161754DEC0ED/59BB5049-07BC-4EA9-9C35-17D436E5798E.jpg","Thumbnail Image")</f>
      </c>
      <c r="V519" s="0">
        <f>HYPERLINK("https://ec-qa-storage.kldlms.com/ItemGallery/08DCF9B0-01B4-416A-82B8-161754DEC0ED/2F542FEE-8068-4708-AB15-D9FEF7B2E301.jpg","Gallery Image ")</f>
      </c>
      <c r="W519" s="0" t="s">
        <v>22</v>
      </c>
      <c r="X519" s="0" t="s">
        <v>2187</v>
      </c>
    </row>
    <row r="520">
      <c r="A520" s="0" t="s">
        <v>2188</v>
      </c>
      <c r="B520" s="0" t="s">
        <v>2188</v>
      </c>
      <c r="C520" s="0" t="s">
        <v>2189</v>
      </c>
      <c r="D520" s="0" t="s">
        <v>27</v>
      </c>
      <c r="E520" s="0" t="s">
        <v>79</v>
      </c>
      <c r="F520" s="0" t="s">
        <v>80</v>
      </c>
      <c r="G520" s="0" t="s">
        <v>2188</v>
      </c>
      <c r="H520" s="0" t="s">
        <v>2188</v>
      </c>
      <c r="I520" s="0" t="s">
        <v>2190</v>
      </c>
      <c r="J520" s="0" t="s">
        <v>2190</v>
      </c>
      <c r="K520" s="0" t="s">
        <v>2191</v>
      </c>
      <c r="L520" s="0" t="s">
        <v>32</v>
      </c>
      <c r="M520" s="0" t="s">
        <v>33</v>
      </c>
      <c r="N520" s="0" t="s">
        <v>2192</v>
      </c>
      <c r="O520" s="0" t="s">
        <v>35</v>
      </c>
      <c r="P520" s="0" t="s">
        <v>39</v>
      </c>
      <c r="Q520" s="0" t="s">
        <v>2193</v>
      </c>
      <c r="R520" s="0" t="s">
        <v>2189</v>
      </c>
      <c r="S520" s="0" t="s">
        <v>2192</v>
      </c>
      <c r="T520" s="0">
        <f>HYPERLINK("https://storage.sslt.ae/ItemVariation/08DCF9B0-01F8-45D0-8C6D-3CDFF40E6232/6FE15AAB-2E4F-4130-B8EF-1397C7DF9B26.jpg","Variant Image")</f>
      </c>
      <c r="U520" s="0">
        <f>HYPERLINK("https://ec-qa-storage.kldlms.com/Item/08DCF9B0-01F8-45D0-8C6D-3CDFF40E6232/2CC22CCB-49E9-4D93-91D7-938733A85052.jpg","Thumbnail Image")</f>
      </c>
      <c r="V520" s="0">
        <f>HYPERLINK("https://ec-qa-storage.kldlms.com/ItemGallery/08DCF9B0-01F8-45D0-8C6D-3CDFF40E6232/EA4774E2-EC02-455E-93EF-539D53F203DB.jpg","Gallery Image ")</f>
      </c>
      <c r="W520" s="0" t="s">
        <v>22</v>
      </c>
      <c r="X520" s="0" t="s">
        <v>2194</v>
      </c>
    </row>
    <row r="521">
      <c r="A521" s="0" t="s">
        <v>2195</v>
      </c>
      <c r="B521" s="0" t="s">
        <v>2195</v>
      </c>
      <c r="C521" s="0" t="s">
        <v>2196</v>
      </c>
      <c r="D521" s="0" t="s">
        <v>27</v>
      </c>
      <c r="E521" s="0" t="s">
        <v>79</v>
      </c>
      <c r="F521" s="0" t="s">
        <v>80</v>
      </c>
      <c r="G521" s="0" t="s">
        <v>2195</v>
      </c>
      <c r="H521" s="0" t="s">
        <v>2195</v>
      </c>
      <c r="I521" s="0" t="s">
        <v>2197</v>
      </c>
      <c r="J521" s="0" t="s">
        <v>2197</v>
      </c>
      <c r="K521" s="0" t="s">
        <v>1283</v>
      </c>
      <c r="L521" s="0" t="s">
        <v>32</v>
      </c>
      <c r="M521" s="0" t="s">
        <v>33</v>
      </c>
      <c r="N521" s="0" t="s">
        <v>2198</v>
      </c>
      <c r="O521" s="0" t="s">
        <v>35</v>
      </c>
      <c r="P521" s="0" t="s">
        <v>39</v>
      </c>
      <c r="Q521" s="0" t="s">
        <v>2199</v>
      </c>
      <c r="R521" s="0" t="s">
        <v>2196</v>
      </c>
      <c r="S521" s="0" t="s">
        <v>2198</v>
      </c>
      <c r="T521" s="0">
        <f>HYPERLINK("https://storage.sslt.ae/ItemVariation/08DCF9B0-020F-45F1-85F5-A7184EADCBE0/6C298FC9-EA43-45ED-A560-D9049C167191.jpg","Variant Image")</f>
      </c>
      <c r="U521" s="0">
        <f>HYPERLINK("https://ec-qa-storage.kldlms.com/Item/08DCF9B0-020F-45F1-85F5-A7184EADCBE0/3533F56D-4DCE-4968-B1CA-E7C46633D795.jpg","Thumbnail Image")</f>
      </c>
      <c r="V521" s="0">
        <f>HYPERLINK("https://ec-qa-storage.kldlms.com/ItemGallery/08DCF9B0-020F-45F1-85F5-A7184EADCBE0/BB82507A-06E7-40A3-A107-300F1323C944.jpg","Gallery Image ")</f>
      </c>
      <c r="W521" s="0" t="s">
        <v>22</v>
      </c>
      <c r="X521" s="0" t="s">
        <v>2200</v>
      </c>
    </row>
    <row r="522">
      <c r="A522" s="0" t="s">
        <v>2195</v>
      </c>
      <c r="B522" s="0" t="s">
        <v>2195</v>
      </c>
      <c r="C522" s="0" t="s">
        <v>2201</v>
      </c>
      <c r="D522" s="0" t="s">
        <v>27</v>
      </c>
      <c r="E522" s="0" t="s">
        <v>79</v>
      </c>
      <c r="F522" s="0" t="s">
        <v>80</v>
      </c>
      <c r="G522" s="0" t="s">
        <v>2195</v>
      </c>
      <c r="H522" s="0" t="s">
        <v>2195</v>
      </c>
      <c r="I522" s="0" t="s">
        <v>2202</v>
      </c>
      <c r="J522" s="0" t="s">
        <v>2202</v>
      </c>
      <c r="K522" s="0" t="s">
        <v>2203</v>
      </c>
      <c r="L522" s="0" t="s">
        <v>32</v>
      </c>
      <c r="M522" s="0" t="s">
        <v>33</v>
      </c>
      <c r="N522" s="0" t="s">
        <v>2204</v>
      </c>
      <c r="O522" s="0" t="s">
        <v>35</v>
      </c>
      <c r="P522" s="0" t="s">
        <v>39</v>
      </c>
      <c r="Q522" s="0" t="s">
        <v>2205</v>
      </c>
      <c r="R522" s="0" t="s">
        <v>2201</v>
      </c>
      <c r="S522" s="0" t="s">
        <v>2204</v>
      </c>
      <c r="T522" s="0">
        <f>HYPERLINK("https://storage.sslt.ae/ItemVariation/08DCF9B0-0225-48B6-8145-C18B2C848CB9/D57C1368-AF94-455B-97E3-FBEC3C84C134.jpg","Variant Image")</f>
      </c>
      <c r="U522" s="0">
        <f>HYPERLINK("https://ec-qa-storage.kldlms.com/Item/08DCF9B0-0225-48B6-8145-C18B2C848CB9/92BF733A-A969-4014-BA2D-2266A7FA3091.jpg","Thumbnail Image")</f>
      </c>
      <c r="V522" s="0">
        <f>HYPERLINK("https://ec-qa-storage.kldlms.com/ItemGallery/08DCF9B0-0225-48B6-8145-C18B2C848CB9/C7E7882E-4E07-4B4B-97C6-8C50176AF037.jpg","Gallery Image ")</f>
      </c>
      <c r="W522" s="0" t="s">
        <v>22</v>
      </c>
      <c r="X522" s="0" t="s">
        <v>2206</v>
      </c>
    </row>
    <row r="523">
      <c r="A523" s="0" t="s">
        <v>2207</v>
      </c>
      <c r="B523" s="0" t="s">
        <v>2207</v>
      </c>
      <c r="C523" s="0" t="s">
        <v>2208</v>
      </c>
      <c r="D523" s="0" t="s">
        <v>27</v>
      </c>
      <c r="E523" s="0" t="s">
        <v>79</v>
      </c>
      <c r="F523" s="0" t="s">
        <v>80</v>
      </c>
      <c r="G523" s="0" t="s">
        <v>2207</v>
      </c>
      <c r="H523" s="0" t="s">
        <v>2207</v>
      </c>
      <c r="I523" s="0" t="s">
        <v>2209</v>
      </c>
      <c r="J523" s="0" t="s">
        <v>2209</v>
      </c>
      <c r="K523" s="0" t="s">
        <v>2210</v>
      </c>
      <c r="L523" s="0" t="s">
        <v>32</v>
      </c>
      <c r="M523" s="0" t="s">
        <v>33</v>
      </c>
      <c r="N523" s="0" t="s">
        <v>2211</v>
      </c>
      <c r="O523" s="0" t="s">
        <v>35</v>
      </c>
      <c r="P523" s="0" t="s">
        <v>39</v>
      </c>
      <c r="Q523" s="0" t="s">
        <v>2212</v>
      </c>
      <c r="R523" s="0" t="s">
        <v>2208</v>
      </c>
      <c r="S523" s="0" t="s">
        <v>2211</v>
      </c>
      <c r="T523" s="0">
        <f>HYPERLINK("https://storage.sslt.ae/ItemVariation/08DCF9B0-0236-4151-8B3C-7DBC917FC23A/1CA9DA8A-BF3A-4D96-92C0-9905A2B1A8F6.jpg","Variant Image")</f>
      </c>
      <c r="U523" s="0">
        <f>HYPERLINK("https://ec-qa-storage.kldlms.com/Item/08DCF9B0-0236-4151-8B3C-7DBC917FC23A/009705FF-BD15-40CB-B5F0-36223217F0BC.jpg","Thumbnail Image")</f>
      </c>
      <c r="V523" s="0">
        <f>HYPERLINK("https://ec-qa-storage.kldlms.com/ItemGallery/08DCF9B0-0236-4151-8B3C-7DBC917FC23A/325A0D2D-AB64-4A7D-872A-F0D421F04CE8.jpg","Gallery Image ")</f>
      </c>
      <c r="W523" s="0" t="s">
        <v>22</v>
      </c>
      <c r="X523" s="0" t="s">
        <v>2213</v>
      </c>
    </row>
    <row r="524">
      <c r="A524" s="0" t="s">
        <v>2214</v>
      </c>
      <c r="B524" s="0" t="s">
        <v>2214</v>
      </c>
      <c r="C524" s="0" t="s">
        <v>2215</v>
      </c>
      <c r="D524" s="0" t="s">
        <v>27</v>
      </c>
      <c r="E524" s="0" t="s">
        <v>79</v>
      </c>
      <c r="F524" s="0" t="s">
        <v>80</v>
      </c>
      <c r="G524" s="0" t="s">
        <v>2214</v>
      </c>
      <c r="H524" s="0" t="s">
        <v>2214</v>
      </c>
      <c r="I524" s="0" t="s">
        <v>2216</v>
      </c>
      <c r="J524" s="0" t="s">
        <v>2216</v>
      </c>
      <c r="K524" s="0" t="s">
        <v>2217</v>
      </c>
      <c r="L524" s="0" t="s">
        <v>32</v>
      </c>
      <c r="M524" s="0" t="s">
        <v>33</v>
      </c>
      <c r="N524" s="0" t="s">
        <v>2218</v>
      </c>
      <c r="O524" s="0" t="s">
        <v>35</v>
      </c>
      <c r="P524" s="0" t="s">
        <v>39</v>
      </c>
      <c r="Q524" s="0" t="s">
        <v>2219</v>
      </c>
      <c r="R524" s="0" t="s">
        <v>2215</v>
      </c>
      <c r="S524" s="0" t="s">
        <v>2218</v>
      </c>
      <c r="T524" s="0">
        <f>HYPERLINK("https://storage.sslt.ae/ItemVariation/08DCF9B0-0253-4685-873A-F181791C91AB/C26E2388-24D6-4D71-BA3C-B4381A9EECF2.jpg","Variant Image")</f>
      </c>
      <c r="U524" s="0">
        <f>HYPERLINK("https://ec-qa-storage.kldlms.com/Item/08DCF9B0-0253-4685-873A-F181791C91AB/F2B2D855-5DBD-49A6-BD80-E83CBA1869ED.jpg","Thumbnail Image")</f>
      </c>
      <c r="V524" s="0">
        <f>HYPERLINK("https://ec-qa-storage.kldlms.com/ItemGallery/08DCF9B0-0253-4685-873A-F181791C91AB/74A552B7-23B6-4340-9625-D24EA7A5631B.jpg","Gallery Image ")</f>
      </c>
      <c r="W524" s="0" t="s">
        <v>22</v>
      </c>
      <c r="X524" s="0" t="s">
        <v>2220</v>
      </c>
    </row>
    <row r="525">
      <c r="A525" s="0" t="s">
        <v>2066</v>
      </c>
      <c r="B525" s="0" t="s">
        <v>2066</v>
      </c>
      <c r="C525" s="0" t="s">
        <v>2221</v>
      </c>
      <c r="D525" s="0" t="s">
        <v>27</v>
      </c>
      <c r="E525" s="0" t="s">
        <v>79</v>
      </c>
      <c r="F525" s="0" t="s">
        <v>80</v>
      </c>
      <c r="G525" s="0" t="s">
        <v>2066</v>
      </c>
      <c r="H525" s="0" t="s">
        <v>2066</v>
      </c>
      <c r="I525" s="0" t="s">
        <v>2222</v>
      </c>
      <c r="J525" s="0" t="s">
        <v>2222</v>
      </c>
      <c r="K525" s="0" t="s">
        <v>2223</v>
      </c>
      <c r="L525" s="0" t="s">
        <v>32</v>
      </c>
      <c r="M525" s="0" t="s">
        <v>33</v>
      </c>
      <c r="N525" s="0" t="s">
        <v>109</v>
      </c>
      <c r="O525" s="0" t="s">
        <v>35</v>
      </c>
      <c r="P525" s="0" t="s">
        <v>1380</v>
      </c>
      <c r="Q525" s="0" t="s">
        <v>2224</v>
      </c>
      <c r="R525" s="0" t="s">
        <v>2221</v>
      </c>
      <c r="S525" s="0" t="s">
        <v>109</v>
      </c>
      <c r="T525" s="0">
        <f>HYPERLINK("https://storage.sslt.ae/ItemVariation/08DCF9B0-0265-4221-865F-F81B0ECF7B8C/3F0F8899-3CA7-4FFC-B3F9-04246F59C84B.jpg","Variant Image")</f>
      </c>
      <c r="U525" s="0">
        <f>HYPERLINK("https://ec-qa-storage.kldlms.com/Item/08DCF9B0-0265-4221-865F-F81B0ECF7B8C/7004CA80-E4B5-4374-B0BA-4BCC122EA120.jpg","Thumbnail Image")</f>
      </c>
      <c r="V525" s="0">
        <f>HYPERLINK("https://ec-qa-storage.kldlms.com/ItemGallery/08DCF9B0-0265-4221-865F-F81B0ECF7B8C/1349F808-311C-4938-A0A1-91BD30466732.jpg","Gallery Image ")</f>
      </c>
      <c r="W525" s="0" t="s">
        <v>22</v>
      </c>
      <c r="X525" s="0" t="s">
        <v>2225</v>
      </c>
    </row>
    <row r="526">
      <c r="A526" s="0" t="s">
        <v>2066</v>
      </c>
      <c r="B526" s="0" t="s">
        <v>2066</v>
      </c>
      <c r="C526" s="0" t="s">
        <v>2226</v>
      </c>
      <c r="D526" s="0" t="s">
        <v>27</v>
      </c>
      <c r="E526" s="0" t="s">
        <v>79</v>
      </c>
      <c r="F526" s="0" t="s">
        <v>80</v>
      </c>
      <c r="G526" s="0" t="s">
        <v>2066</v>
      </c>
      <c r="H526" s="0" t="s">
        <v>2066</v>
      </c>
      <c r="I526" s="0" t="s">
        <v>2227</v>
      </c>
      <c r="J526" s="0" t="s">
        <v>2227</v>
      </c>
      <c r="K526" s="0" t="s">
        <v>2228</v>
      </c>
      <c r="L526" s="0" t="s">
        <v>32</v>
      </c>
      <c r="M526" s="0" t="s">
        <v>33</v>
      </c>
      <c r="N526" s="0" t="s">
        <v>2192</v>
      </c>
      <c r="O526" s="0" t="s">
        <v>35</v>
      </c>
      <c r="P526" s="0" t="s">
        <v>39</v>
      </c>
      <c r="Q526" s="0" t="s">
        <v>2229</v>
      </c>
      <c r="R526" s="0" t="s">
        <v>2226</v>
      </c>
      <c r="S526" s="0" t="s">
        <v>2192</v>
      </c>
      <c r="T526" s="0">
        <f>HYPERLINK("https://storage.sslt.ae/ItemVariation/08DCF9B0-0270-475F-8919-E077B2634A0B/769E4AB7-81AB-4DC7-A18D-0CD6C6AD337B.jpg","Variant Image")</f>
      </c>
      <c r="U526" s="0">
        <f>HYPERLINK("https://ec-qa-storage.kldlms.com/Item/08DCF9B0-0270-475F-8919-E077B2634A0B/3449FB29-9771-44EF-A49F-DEEFD5A41E57.jpg","Thumbnail Image")</f>
      </c>
      <c r="V526" s="0">
        <f>HYPERLINK("https://ec-qa-storage.kldlms.com/ItemGallery/08DCF9B0-0270-475F-8919-E077B2634A0B/EA266BB3-ECB0-48FE-953E-E9EC08F7C1A8.jpg","Gallery Image ")</f>
      </c>
      <c r="W526" s="0" t="s">
        <v>22</v>
      </c>
      <c r="X526" s="0" t="s">
        <v>2230</v>
      </c>
    </row>
    <row r="527">
      <c r="A527" s="0" t="s">
        <v>2162</v>
      </c>
      <c r="B527" s="0" t="s">
        <v>2162</v>
      </c>
      <c r="C527" s="0" t="s">
        <v>2231</v>
      </c>
      <c r="D527" s="0" t="s">
        <v>27</v>
      </c>
      <c r="E527" s="0" t="s">
        <v>79</v>
      </c>
      <c r="F527" s="0" t="s">
        <v>80</v>
      </c>
      <c r="G527" s="0" t="s">
        <v>2162</v>
      </c>
      <c r="H527" s="0" t="s">
        <v>2162</v>
      </c>
      <c r="I527" s="0" t="s">
        <v>2232</v>
      </c>
      <c r="J527" s="0" t="s">
        <v>2232</v>
      </c>
      <c r="K527" s="0" t="s">
        <v>2233</v>
      </c>
      <c r="L527" s="0" t="s">
        <v>32</v>
      </c>
      <c r="M527" s="0" t="s">
        <v>33</v>
      </c>
      <c r="N527" s="0" t="s">
        <v>2234</v>
      </c>
      <c r="O527" s="0" t="s">
        <v>35</v>
      </c>
      <c r="P527" s="0" t="s">
        <v>39</v>
      </c>
      <c r="Q527" s="0" t="s">
        <v>2235</v>
      </c>
      <c r="R527" s="0" t="s">
        <v>2231</v>
      </c>
      <c r="S527" s="0" t="s">
        <v>2234</v>
      </c>
      <c r="T527" s="0">
        <f>HYPERLINK("https://storage.sslt.ae/ItemVariation/08DCF9B0-0293-438F-8FA3-5341E0E8B782/0E9C565C-EB7C-49ED-A5C2-23F47981545E.jpg","Variant Image")</f>
      </c>
      <c r="U527" s="0">
        <f>HYPERLINK("https://ec-qa-storage.kldlms.com/Item/08DCF9B0-0293-438F-8FA3-5341E0E8B782/325B583B-3E0E-4239-95A9-396E0B0E1CD8.jpg","Thumbnail Image")</f>
      </c>
      <c r="V527" s="0">
        <f>HYPERLINK("https://ec-qa-storage.kldlms.com/ItemGallery/08DCF9B0-0293-438F-8FA3-5341E0E8B782/49C5DE33-E24D-449B-B366-DFC1F554B9D4.jpg","Gallery Image ")</f>
      </c>
      <c r="W527" s="0" t="s">
        <v>22</v>
      </c>
      <c r="X527" s="0" t="s">
        <v>2236</v>
      </c>
    </row>
    <row r="528">
      <c r="A528" s="0" t="s">
        <v>2237</v>
      </c>
      <c r="B528" s="0" t="s">
        <v>2237</v>
      </c>
      <c r="C528" s="0" t="s">
        <v>2238</v>
      </c>
      <c r="D528" s="0" t="s">
        <v>27</v>
      </c>
      <c r="E528" s="0" t="s">
        <v>79</v>
      </c>
      <c r="F528" s="0" t="s">
        <v>80</v>
      </c>
      <c r="G528" s="0" t="s">
        <v>2237</v>
      </c>
      <c r="H528" s="0" t="s">
        <v>2237</v>
      </c>
      <c r="I528" s="0" t="s">
        <v>2239</v>
      </c>
      <c r="J528" s="0" t="s">
        <v>2239</v>
      </c>
      <c r="K528" s="0" t="s">
        <v>2240</v>
      </c>
      <c r="L528" s="0" t="s">
        <v>32</v>
      </c>
      <c r="M528" s="0" t="s">
        <v>33</v>
      </c>
      <c r="N528" s="0" t="s">
        <v>337</v>
      </c>
      <c r="O528" s="0" t="s">
        <v>35</v>
      </c>
      <c r="P528" s="0" t="s">
        <v>1380</v>
      </c>
      <c r="Q528" s="0" t="s">
        <v>2241</v>
      </c>
      <c r="R528" s="0" t="s">
        <v>2238</v>
      </c>
      <c r="S528" s="0" t="s">
        <v>337</v>
      </c>
      <c r="T528" s="0">
        <f>HYPERLINK("https://storage.sslt.ae/ItemVariation/08DCF9B0-02C1-462C-8C8B-E6A331A2F129/714CEB6A-EAC0-4DA7-A7D3-DEEF27F7821E.jpg","Variant Image")</f>
      </c>
      <c r="U528" s="0">
        <f>HYPERLINK("https://ec-qa-storage.kldlms.com/Item/08DCF9B0-02C1-462C-8C8B-E6A331A2F129/60B2E57D-E578-40AE-BDFC-ADFA57540FDA.jpg","Thumbnail Image")</f>
      </c>
      <c r="V528" s="0">
        <f>HYPERLINK("https://ec-qa-storage.kldlms.com/ItemGallery/08DCF9B0-02C1-462C-8C8B-E6A331A2F129/FB247148-14EF-4B87-88FD-146E605FE5BD.jpg","Gallery Image ")</f>
      </c>
      <c r="W528" s="0" t="s">
        <v>22</v>
      </c>
      <c r="X528" s="0" t="s">
        <v>2242</v>
      </c>
    </row>
    <row r="529">
      <c r="A529" s="0" t="s">
        <v>2237</v>
      </c>
      <c r="B529" s="0" t="s">
        <v>2237</v>
      </c>
      <c r="C529" s="0" t="s">
        <v>2243</v>
      </c>
      <c r="D529" s="0" t="s">
        <v>27</v>
      </c>
      <c r="E529" s="0" t="s">
        <v>79</v>
      </c>
      <c r="F529" s="0" t="s">
        <v>80</v>
      </c>
      <c r="G529" s="0" t="s">
        <v>2237</v>
      </c>
      <c r="H529" s="0" t="s">
        <v>2237</v>
      </c>
      <c r="I529" s="0" t="s">
        <v>2244</v>
      </c>
      <c r="J529" s="0" t="s">
        <v>2244</v>
      </c>
      <c r="K529" s="0" t="s">
        <v>2245</v>
      </c>
      <c r="L529" s="0" t="s">
        <v>32</v>
      </c>
      <c r="M529" s="0" t="s">
        <v>33</v>
      </c>
      <c r="N529" s="0" t="s">
        <v>404</v>
      </c>
      <c r="O529" s="0" t="s">
        <v>35</v>
      </c>
      <c r="P529" s="0" t="s">
        <v>2060</v>
      </c>
      <c r="Q529" s="0" t="s">
        <v>2246</v>
      </c>
      <c r="R529" s="0" t="s">
        <v>2243</v>
      </c>
      <c r="S529" s="0" t="s">
        <v>404</v>
      </c>
      <c r="T529" s="0">
        <f>HYPERLINK("https://storage.sslt.ae/ItemVariation/08DCF9B0-02E3-4121-8720-DF7E150D5E96/5B206B76-37A0-4C3E-9013-28D92EECCA0C.jpg","Variant Image")</f>
      </c>
      <c r="U529" s="0">
        <f>HYPERLINK("https://ec-qa-storage.kldlms.com/Item/08DCF9B0-02E3-4121-8720-DF7E150D5E96/9DC03457-77D0-4C26-8307-7102D49031D2.jpg","Thumbnail Image")</f>
      </c>
      <c r="V529" s="0">
        <f>HYPERLINK("https://ec-qa-storage.kldlms.com/ItemGallery/08DCF9B0-02E3-4121-8720-DF7E150D5E96/7808ACD9-71D6-4CF3-8B7E-0E59318C9A09.jpg","Gallery Image ")</f>
      </c>
      <c r="W529" s="0" t="s">
        <v>22</v>
      </c>
      <c r="X529" s="0" t="s">
        <v>2247</v>
      </c>
    </row>
    <row r="530">
      <c r="A530" s="0" t="s">
        <v>2237</v>
      </c>
      <c r="B530" s="0" t="s">
        <v>2237</v>
      </c>
      <c r="C530" s="0" t="s">
        <v>2248</v>
      </c>
      <c r="D530" s="0" t="s">
        <v>27</v>
      </c>
      <c r="E530" s="0" t="s">
        <v>79</v>
      </c>
      <c r="F530" s="0" t="s">
        <v>80</v>
      </c>
      <c r="G530" s="0" t="s">
        <v>2237</v>
      </c>
      <c r="H530" s="0" t="s">
        <v>2237</v>
      </c>
      <c r="I530" s="0" t="s">
        <v>2249</v>
      </c>
      <c r="J530" s="0" t="s">
        <v>2249</v>
      </c>
      <c r="K530" s="0" t="s">
        <v>2250</v>
      </c>
      <c r="L530" s="0" t="s">
        <v>32</v>
      </c>
      <c r="M530" s="0" t="s">
        <v>33</v>
      </c>
      <c r="N530" s="0" t="s">
        <v>772</v>
      </c>
      <c r="O530" s="0" t="s">
        <v>35</v>
      </c>
      <c r="P530" s="0" t="s">
        <v>39</v>
      </c>
      <c r="Q530" s="0" t="s">
        <v>2251</v>
      </c>
      <c r="R530" s="0" t="s">
        <v>2248</v>
      </c>
      <c r="S530" s="0" t="s">
        <v>772</v>
      </c>
      <c r="T530" s="0">
        <f>HYPERLINK("https://storage.sslt.ae/ItemVariation/08DCF9B0-02F8-4125-8F19-0166A082FEA4/C961BE07-B049-49C8-A834-A5B0FB71502D.jpg","Variant Image")</f>
      </c>
      <c r="U530" s="0">
        <f>HYPERLINK("https://ec-qa-storage.kldlms.com/Item/08DCF9B0-02F8-4125-8F19-0166A082FEA4/67406719-BA5B-427A-A82D-6A14FC30D7EE.jpg","Thumbnail Image")</f>
      </c>
      <c r="V530" s="0">
        <f>HYPERLINK("https://ec-qa-storage.kldlms.com/ItemGallery/08DCF9B0-02F8-4125-8F19-0166A082FEA4/732BDEBC-8B98-42D4-9717-C89C297AEFC2.jpg","Gallery Image ")</f>
      </c>
      <c r="W530" s="0" t="s">
        <v>22</v>
      </c>
      <c r="X530" s="0" t="s">
        <v>2252</v>
      </c>
    </row>
    <row r="531">
      <c r="A531" s="0" t="s">
        <v>2237</v>
      </c>
      <c r="B531" s="0" t="s">
        <v>2237</v>
      </c>
      <c r="C531" s="0" t="s">
        <v>2253</v>
      </c>
      <c r="D531" s="0" t="s">
        <v>27</v>
      </c>
      <c r="E531" s="0" t="s">
        <v>79</v>
      </c>
      <c r="F531" s="0" t="s">
        <v>80</v>
      </c>
      <c r="G531" s="0" t="s">
        <v>2237</v>
      </c>
      <c r="H531" s="0" t="s">
        <v>2237</v>
      </c>
      <c r="I531" s="0" t="s">
        <v>2254</v>
      </c>
      <c r="J531" s="0" t="s">
        <v>2254</v>
      </c>
      <c r="K531" s="0" t="s">
        <v>2255</v>
      </c>
      <c r="L531" s="0" t="s">
        <v>32</v>
      </c>
      <c r="M531" s="0" t="s">
        <v>33</v>
      </c>
      <c r="N531" s="0" t="s">
        <v>202</v>
      </c>
      <c r="O531" s="0" t="s">
        <v>35</v>
      </c>
      <c r="P531" s="0" t="s">
        <v>2083</v>
      </c>
      <c r="Q531" s="0" t="s">
        <v>2256</v>
      </c>
      <c r="R531" s="0" t="s">
        <v>2253</v>
      </c>
      <c r="S531" s="0" t="s">
        <v>202</v>
      </c>
      <c r="T531" s="0">
        <f>HYPERLINK("https://storage.sslt.ae/ItemVariation/08DCF9B0-030B-4214-8B15-49FC7E45744F/A9651290-87EB-4DC8-8732-E0BB662A7D62.jpg","Variant Image")</f>
      </c>
      <c r="U531" s="0">
        <f>HYPERLINK("https://ec-qa-storage.kldlms.com/Item/08DCF9B0-030B-4214-8B15-49FC7E45744F/A36AEB12-ABF1-448C-B5EC-BDBF6C62C9F9.jpg","Thumbnail Image")</f>
      </c>
      <c r="V531" s="0">
        <f>HYPERLINK("https://ec-qa-storage.kldlms.com/ItemGallery/08DCF9B0-030B-4214-8B15-49FC7E45744F/1F8C0B63-62D4-4058-8673-2E509BAD93C6.jpg","Gallery Image ")</f>
      </c>
      <c r="W531" s="0" t="s">
        <v>22</v>
      </c>
      <c r="X531" s="0" t="s">
        <v>2257</v>
      </c>
    </row>
    <row r="532">
      <c r="A532" s="0" t="s">
        <v>62</v>
      </c>
      <c r="B532" s="0" t="s">
        <v>62</v>
      </c>
      <c r="C532" s="0" t="s">
        <v>2258</v>
      </c>
      <c r="D532" s="0" t="s">
        <v>27</v>
      </c>
      <c r="E532" s="0" t="s">
        <v>79</v>
      </c>
      <c r="F532" s="0" t="s">
        <v>80</v>
      </c>
      <c r="G532" s="0" t="s">
        <v>62</v>
      </c>
      <c r="H532" s="0" t="s">
        <v>62</v>
      </c>
      <c r="I532" s="0" t="s">
        <v>2259</v>
      </c>
      <c r="J532" s="0" t="s">
        <v>2259</v>
      </c>
      <c r="K532" s="0" t="s">
        <v>2260</v>
      </c>
      <c r="L532" s="0" t="s">
        <v>32</v>
      </c>
      <c r="M532" s="0" t="s">
        <v>33</v>
      </c>
      <c r="N532" s="0" t="s">
        <v>720</v>
      </c>
      <c r="O532" s="0" t="s">
        <v>35</v>
      </c>
      <c r="P532" s="0" t="s">
        <v>39</v>
      </c>
      <c r="Q532" s="0" t="s">
        <v>2261</v>
      </c>
      <c r="R532" s="0" t="s">
        <v>2258</v>
      </c>
      <c r="S532" s="0" t="s">
        <v>720</v>
      </c>
      <c r="T532" s="0">
        <f>HYPERLINK("https://storage.sslt.ae/ItemVariation/08DCF9B0-031D-44A3-894D-3AB7AB1EB0CB/16A1E7AA-4AEE-4A8F-986D-DE030FEF5829.jpg","Variant Image")</f>
      </c>
      <c r="U532" s="0">
        <f>HYPERLINK("https://ec-qa-storage.kldlms.com/Item/08DCF9B0-031D-44A3-894D-3AB7AB1EB0CB/B8FDC61B-4C5C-4E78-8C83-B02DA8477BC4.jpg","Thumbnail Image")</f>
      </c>
      <c r="V532" s="0">
        <f>HYPERLINK("https://ec-qa-storage.kldlms.com/ItemGallery/08DCF9B0-031D-44A3-894D-3AB7AB1EB0CB/F5D46425-B065-4241-9C8D-92CC329ED160.jpg","Gallery Image ")</f>
      </c>
      <c r="W532" s="0" t="s">
        <v>22</v>
      </c>
      <c r="X532" s="0" t="s">
        <v>2262</v>
      </c>
    </row>
    <row r="533">
      <c r="A533" s="0" t="s">
        <v>2066</v>
      </c>
      <c r="B533" s="0" t="s">
        <v>2066</v>
      </c>
      <c r="C533" s="0" t="s">
        <v>2263</v>
      </c>
      <c r="D533" s="0" t="s">
        <v>27</v>
      </c>
      <c r="E533" s="0" t="s">
        <v>79</v>
      </c>
      <c r="F533" s="0" t="s">
        <v>80</v>
      </c>
      <c r="G533" s="0" t="s">
        <v>2066</v>
      </c>
      <c r="H533" s="0" t="s">
        <v>2066</v>
      </c>
      <c r="I533" s="0" t="s">
        <v>2264</v>
      </c>
      <c r="J533" s="0" t="s">
        <v>2264</v>
      </c>
      <c r="K533" s="0" t="s">
        <v>2265</v>
      </c>
      <c r="L533" s="0" t="s">
        <v>32</v>
      </c>
      <c r="M533" s="0" t="s">
        <v>33</v>
      </c>
      <c r="N533" s="0" t="s">
        <v>297</v>
      </c>
      <c r="O533" s="0" t="s">
        <v>35</v>
      </c>
      <c r="P533" s="0" t="s">
        <v>39</v>
      </c>
      <c r="Q533" s="0" t="s">
        <v>2266</v>
      </c>
      <c r="R533" s="0" t="s">
        <v>2263</v>
      </c>
      <c r="S533" s="0" t="s">
        <v>297</v>
      </c>
      <c r="T533" s="0">
        <f>HYPERLINK("https://storage.sslt.ae/ItemVariation/08DCF9B0-0348-4C77-84BD-32E3BCE13A35/C04DA3ED-80B2-4181-A22A-2D17A3A39F03.jpg","Variant Image")</f>
      </c>
      <c r="U533" s="0">
        <f>HYPERLINK("https://ec-qa-storage.kldlms.com/Item/08DCF9B0-0348-4C77-84BD-32E3BCE13A35/2DA52CE5-5F81-49D4-AF50-0B06EA1C5E9B.jpg","Thumbnail Image")</f>
      </c>
      <c r="V533" s="0">
        <f>HYPERLINK("https://ec-qa-storage.kldlms.com/ItemGallery/08DCF9B0-0348-4C77-84BD-32E3BCE13A35/47805D39-37EA-41B6-87D6-790C49B9C66C.jpg","Gallery Image ")</f>
      </c>
      <c r="W533" s="0" t="s">
        <v>22</v>
      </c>
      <c r="X533" s="0" t="s">
        <v>2267</v>
      </c>
    </row>
    <row r="534">
      <c r="A534" s="0" t="s">
        <v>2268</v>
      </c>
      <c r="B534" s="0" t="s">
        <v>2268</v>
      </c>
      <c r="C534" s="0" t="s">
        <v>2269</v>
      </c>
      <c r="D534" s="0" t="s">
        <v>27</v>
      </c>
      <c r="E534" s="0" t="s">
        <v>97</v>
      </c>
      <c r="F534" s="0" t="s">
        <v>80</v>
      </c>
      <c r="G534" s="0" t="s">
        <v>2268</v>
      </c>
      <c r="H534" s="0" t="s">
        <v>2268</v>
      </c>
      <c r="I534" s="0" t="s">
        <v>2270</v>
      </c>
      <c r="J534" s="0" t="s">
        <v>2270</v>
      </c>
      <c r="K534" s="0" t="s">
        <v>2271</v>
      </c>
      <c r="L534" s="0" t="s">
        <v>32</v>
      </c>
      <c r="M534" s="0" t="s">
        <v>33</v>
      </c>
      <c r="N534" s="0" t="s">
        <v>110</v>
      </c>
      <c r="O534" s="0" t="s">
        <v>35</v>
      </c>
      <c r="P534" s="0" t="s">
        <v>94</v>
      </c>
      <c r="Q534" s="0" t="s">
        <v>2272</v>
      </c>
      <c r="R534" s="0" t="s">
        <v>2269</v>
      </c>
      <c r="S534" s="0" t="s">
        <v>110</v>
      </c>
      <c r="T534" s="0">
        <f>HYPERLINK("https://storage.sslt.ae/ItemVariation/08DCF9B0-063F-4791-83B2-B0D235B7ED1D/A7EE2ADF-5BC9-4DC3-A837-B33FF215FCA9.jpg","Variant Image")</f>
      </c>
      <c r="U534" s="0">
        <f>HYPERLINK("https://ec-qa-storage.kldlms.com/Item/08DCF9B0-063F-4791-83B2-B0D235B7ED1D/CE69508D-1562-45FD-AE7B-036F4F1C40B2.jpg","Thumbnail Image")</f>
      </c>
      <c r="V534" s="0">
        <f>HYPERLINK("https://ec-qa-storage.kldlms.com/ItemGallery/08DCF9B0-063F-4791-83B2-B0D235B7ED1D/F0EF177D-4BBC-4A5F-B9EB-9636DAABEE78.jpg","Gallery Image ")</f>
      </c>
      <c r="W534" s="0" t="s">
        <v>22</v>
      </c>
      <c r="X534" s="0" t="s">
        <v>2273</v>
      </c>
    </row>
    <row r="535">
      <c r="A535" s="0" t="s">
        <v>2274</v>
      </c>
      <c r="B535" s="0" t="s">
        <v>2274</v>
      </c>
      <c r="C535" s="0" t="s">
        <v>2275</v>
      </c>
      <c r="D535" s="0" t="s">
        <v>27</v>
      </c>
      <c r="E535" s="0" t="s">
        <v>97</v>
      </c>
      <c r="F535" s="0" t="s">
        <v>80</v>
      </c>
      <c r="G535" s="0" t="s">
        <v>2274</v>
      </c>
      <c r="H535" s="0" t="s">
        <v>2274</v>
      </c>
      <c r="I535" s="0" t="s">
        <v>2276</v>
      </c>
      <c r="J535" s="0" t="s">
        <v>2276</v>
      </c>
      <c r="K535" s="0" t="s">
        <v>222</v>
      </c>
      <c r="L535" s="0" t="s">
        <v>32</v>
      </c>
      <c r="M535" s="0" t="s">
        <v>33</v>
      </c>
      <c r="N535" s="0" t="s">
        <v>280</v>
      </c>
      <c r="O535" s="0" t="s">
        <v>35</v>
      </c>
      <c r="P535" s="0" t="s">
        <v>1380</v>
      </c>
      <c r="Q535" s="0" t="s">
        <v>2277</v>
      </c>
      <c r="R535" s="0" t="s">
        <v>2275</v>
      </c>
      <c r="S535" s="0" t="s">
        <v>280</v>
      </c>
      <c r="T535" s="0">
        <f>HYPERLINK("https://storage.sslt.ae/ItemVariation/08DCF9B0-0654-4A9B-8FB6-9682F7F3FFE0/B26B995A-E530-4B8A-8605-ACDC364E83C2.jpg","Variant Image")</f>
      </c>
      <c r="U535" s="0">
        <f>HYPERLINK("https://ec-qa-storage.kldlms.com/Item/08DCF9B0-0654-4A9B-8FB6-9682F7F3FFE0/3D8F093D-8E34-4871-8ED6-B2FE936374B2.jpg","Thumbnail Image")</f>
      </c>
      <c r="V535" s="0">
        <f>HYPERLINK("https://ec-qa-storage.kldlms.com/ItemGallery/08DCF9B0-0654-4A9B-8FB6-9682F7F3FFE0/16F7ABC0-5965-4A8C-A44F-D24EE9EA3EAF.jpg","Gallery Image ")</f>
      </c>
      <c r="W535" s="0" t="s">
        <v>22</v>
      </c>
      <c r="X535" s="0" t="s">
        <v>2278</v>
      </c>
    </row>
    <row r="536">
      <c r="A536" s="0" t="s">
        <v>2274</v>
      </c>
      <c r="B536" s="0" t="s">
        <v>2274</v>
      </c>
      <c r="C536" s="0" t="s">
        <v>2279</v>
      </c>
      <c r="D536" s="0" t="s">
        <v>27</v>
      </c>
      <c r="E536" s="0" t="s">
        <v>97</v>
      </c>
      <c r="F536" s="0" t="s">
        <v>80</v>
      </c>
      <c r="G536" s="0" t="s">
        <v>2274</v>
      </c>
      <c r="H536" s="0" t="s">
        <v>2274</v>
      </c>
      <c r="I536" s="0" t="s">
        <v>2280</v>
      </c>
      <c r="J536" s="0" t="s">
        <v>2280</v>
      </c>
      <c r="K536" s="0" t="s">
        <v>2281</v>
      </c>
      <c r="L536" s="0" t="s">
        <v>32</v>
      </c>
      <c r="M536" s="0" t="s">
        <v>33</v>
      </c>
      <c r="N536" s="0" t="s">
        <v>100</v>
      </c>
      <c r="O536" s="0" t="s">
        <v>35</v>
      </c>
      <c r="P536" s="0" t="s">
        <v>39</v>
      </c>
      <c r="Q536" s="0" t="s">
        <v>2282</v>
      </c>
      <c r="R536" s="0" t="s">
        <v>2279</v>
      </c>
      <c r="S536" s="0" t="s">
        <v>100</v>
      </c>
      <c r="T536" s="0">
        <f>HYPERLINK("https://storage.sslt.ae/ItemVariation/08DCF9B0-0668-4DC3-8AB4-65F1743AB7F8/BC06F558-AE7F-48F7-84B7-CE1D4434BFC6.jpg","Variant Image")</f>
      </c>
      <c r="U536" s="0">
        <f>HYPERLINK("https://ec-qa-storage.kldlms.com/Item/08DCF9B0-0668-4DC3-8AB4-65F1743AB7F8/DEDE93D3-F7A4-4521-B6E7-0B0478FC7A95.jpg","Thumbnail Image")</f>
      </c>
      <c r="V536" s="0">
        <f>HYPERLINK("https://ec-qa-storage.kldlms.com/ItemGallery/08DCF9B0-0668-4DC3-8AB4-65F1743AB7F8/8A507892-92E8-4DFA-B69D-65EAF0C52280.jpg","Gallery Image ")</f>
      </c>
      <c r="W536" s="0" t="s">
        <v>22</v>
      </c>
      <c r="X536" s="0" t="s">
        <v>2283</v>
      </c>
    </row>
    <row r="537">
      <c r="A537" s="0" t="s">
        <v>2274</v>
      </c>
      <c r="B537" s="0" t="s">
        <v>2274</v>
      </c>
      <c r="C537" s="0" t="s">
        <v>2284</v>
      </c>
      <c r="D537" s="0" t="s">
        <v>27</v>
      </c>
      <c r="E537" s="0" t="s">
        <v>97</v>
      </c>
      <c r="F537" s="0" t="s">
        <v>80</v>
      </c>
      <c r="G537" s="0" t="s">
        <v>2274</v>
      </c>
      <c r="H537" s="0" t="s">
        <v>2274</v>
      </c>
      <c r="I537" s="0" t="s">
        <v>2285</v>
      </c>
      <c r="J537" s="0" t="s">
        <v>2285</v>
      </c>
      <c r="K537" s="0" t="s">
        <v>2286</v>
      </c>
      <c r="L537" s="0" t="s">
        <v>32</v>
      </c>
      <c r="M537" s="0" t="s">
        <v>33</v>
      </c>
      <c r="N537" s="0" t="s">
        <v>280</v>
      </c>
      <c r="O537" s="0" t="s">
        <v>35</v>
      </c>
      <c r="P537" s="0" t="s">
        <v>39</v>
      </c>
      <c r="Q537" s="0" t="s">
        <v>2287</v>
      </c>
      <c r="R537" s="0" t="s">
        <v>2284</v>
      </c>
      <c r="S537" s="0" t="s">
        <v>280</v>
      </c>
      <c r="T537" s="0">
        <f>HYPERLINK("https://storage.sslt.ae/ItemVariation/08DCF9B0-0682-4D43-8498-8F403E510C40/57E9E655-17E3-4C7D-A95B-A84C55469F6E.jpg","Variant Image")</f>
      </c>
      <c r="U537" s="0">
        <f>HYPERLINK("https://ec-qa-storage.kldlms.com/Item/08DCF9B0-0682-4D43-8498-8F403E510C40/2DD55A8C-D543-4FE4-84E8-33161C763DD6.jpg","Thumbnail Image")</f>
      </c>
      <c r="V537" s="0">
        <f>HYPERLINK("https://ec-qa-storage.kldlms.com/ItemGallery/08DCF9B0-0682-4D43-8498-8F403E510C40/9383A681-0E47-439F-84D9-096C72E8483C.jpg","Gallery Image ")</f>
      </c>
      <c r="W537" s="0" t="s">
        <v>22</v>
      </c>
      <c r="X537" s="0" t="s">
        <v>2288</v>
      </c>
    </row>
    <row r="538">
      <c r="A538" s="0" t="s">
        <v>2289</v>
      </c>
      <c r="B538" s="0" t="s">
        <v>2289</v>
      </c>
      <c r="C538" s="0" t="s">
        <v>2290</v>
      </c>
      <c r="D538" s="0" t="s">
        <v>27</v>
      </c>
      <c r="E538" s="0" t="s">
        <v>97</v>
      </c>
      <c r="F538" s="0" t="s">
        <v>80</v>
      </c>
      <c r="G538" s="0" t="s">
        <v>2289</v>
      </c>
      <c r="H538" s="0" t="s">
        <v>2289</v>
      </c>
      <c r="I538" s="0" t="s">
        <v>2291</v>
      </c>
      <c r="J538" s="0" t="s">
        <v>2291</v>
      </c>
      <c r="K538" s="0" t="s">
        <v>2292</v>
      </c>
      <c r="L538" s="0" t="s">
        <v>32</v>
      </c>
      <c r="M538" s="0" t="s">
        <v>33</v>
      </c>
      <c r="N538" s="0" t="s">
        <v>2204</v>
      </c>
      <c r="O538" s="0" t="s">
        <v>35</v>
      </c>
      <c r="P538" s="0" t="s">
        <v>39</v>
      </c>
      <c r="Q538" s="0" t="s">
        <v>2293</v>
      </c>
      <c r="R538" s="0" t="s">
        <v>2290</v>
      </c>
      <c r="S538" s="0" t="s">
        <v>2204</v>
      </c>
      <c r="T538" s="0">
        <f>HYPERLINK("https://storage.sslt.ae/ItemVariation/08DCF9B0-0692-4146-837E-381AAEB3C098/DE69D79E-D20F-419E-934B-947EBF7D5E26.jpg","Variant Image")</f>
      </c>
      <c r="U538" s="0">
        <f>HYPERLINK("https://ec-qa-storage.kldlms.com/Item/08DCF9B0-0692-4146-837E-381AAEB3C098/9E6A5E57-26A4-4DD2-8389-70317F574157.jpg","Thumbnail Image")</f>
      </c>
      <c r="V538" s="0">
        <f>HYPERLINK("https://ec-qa-storage.kldlms.com/ItemGallery/08DCF9B0-0692-4146-837E-381AAEB3C098/75B17699-EDF0-4451-A335-F78ACD2A4FD4.jpg","Gallery Image ")</f>
      </c>
      <c r="W538" s="0" t="s">
        <v>22</v>
      </c>
      <c r="X538" s="0" t="s">
        <v>2294</v>
      </c>
    </row>
    <row r="539">
      <c r="A539" s="0" t="s">
        <v>2295</v>
      </c>
      <c r="B539" s="0" t="s">
        <v>2295</v>
      </c>
      <c r="C539" s="0" t="s">
        <v>2296</v>
      </c>
      <c r="D539" s="0" t="s">
        <v>27</v>
      </c>
      <c r="E539" s="0" t="s">
        <v>97</v>
      </c>
      <c r="F539" s="0" t="s">
        <v>80</v>
      </c>
      <c r="G539" s="0" t="s">
        <v>2295</v>
      </c>
      <c r="H539" s="0" t="s">
        <v>2295</v>
      </c>
      <c r="I539" s="0" t="s">
        <v>2297</v>
      </c>
      <c r="J539" s="0" t="s">
        <v>2297</v>
      </c>
      <c r="K539" s="0" t="s">
        <v>2298</v>
      </c>
      <c r="L539" s="0" t="s">
        <v>32</v>
      </c>
      <c r="M539" s="0" t="s">
        <v>33</v>
      </c>
      <c r="N539" s="0" t="s">
        <v>155</v>
      </c>
      <c r="O539" s="0" t="s">
        <v>35</v>
      </c>
      <c r="P539" s="0" t="s">
        <v>2083</v>
      </c>
      <c r="Q539" s="0" t="s">
        <v>2299</v>
      </c>
      <c r="R539" s="0" t="s">
        <v>2296</v>
      </c>
      <c r="S539" s="0" t="s">
        <v>155</v>
      </c>
      <c r="T539" s="0">
        <f>HYPERLINK("https://storage.sslt.ae/ItemVariation/08DCF9B0-06A8-4CDC-831F-40D330188B2A/8A8CF2EF-459A-4B0C-9559-DEF961B79036.jpg","Variant Image")</f>
      </c>
      <c r="U539" s="0">
        <f>HYPERLINK("https://ec-qa-storage.kldlms.com/Item/08DCF9B0-06A8-4CDC-831F-40D330188B2A/C35AA3B3-9332-4D5E-B804-ACBE24BC8699.jpg","Thumbnail Image")</f>
      </c>
      <c r="V539" s="0">
        <f>HYPERLINK("https://ec-qa-storage.kldlms.com/ItemGallery/08DCF9B0-06A8-4CDC-831F-40D330188B2A/69967F7C-A58E-459A-841E-4CA93678C553.jpg","Gallery Image ")</f>
      </c>
      <c r="W539" s="0" t="s">
        <v>22</v>
      </c>
      <c r="X539" s="0" t="s">
        <v>2300</v>
      </c>
    </row>
    <row r="540">
      <c r="A540" s="0" t="s">
        <v>2301</v>
      </c>
      <c r="B540" s="0" t="s">
        <v>2301</v>
      </c>
      <c r="C540" s="0" t="s">
        <v>2302</v>
      </c>
      <c r="D540" s="0" t="s">
        <v>27</v>
      </c>
      <c r="E540" s="0" t="s">
        <v>97</v>
      </c>
      <c r="F540" s="0" t="s">
        <v>80</v>
      </c>
      <c r="G540" s="0" t="s">
        <v>2301</v>
      </c>
      <c r="H540" s="0" t="s">
        <v>2301</v>
      </c>
      <c r="I540" s="0" t="s">
        <v>2303</v>
      </c>
      <c r="J540" s="0" t="s">
        <v>2303</v>
      </c>
      <c r="K540" s="0" t="s">
        <v>2304</v>
      </c>
      <c r="L540" s="0" t="s">
        <v>32</v>
      </c>
      <c r="M540" s="0" t="s">
        <v>33</v>
      </c>
      <c r="N540" s="0" t="s">
        <v>2305</v>
      </c>
      <c r="O540" s="0" t="s">
        <v>35</v>
      </c>
      <c r="P540" s="0" t="s">
        <v>39</v>
      </c>
      <c r="Q540" s="0" t="s">
        <v>2306</v>
      </c>
      <c r="R540" s="0" t="s">
        <v>2302</v>
      </c>
      <c r="S540" s="0" t="s">
        <v>2305</v>
      </c>
      <c r="T540" s="0">
        <f>HYPERLINK("https://storage.sslt.ae/ItemVariation/08DCF9B0-06BE-4AAC-8118-BA7F7CD37671/2CFCF4F7-3492-4751-A84F-09264A82DC2C.jpg","Variant Image")</f>
      </c>
      <c r="U540" s="0">
        <f>HYPERLINK("https://ec-qa-storage.kldlms.com/Item/08DCF9B0-06BE-4AAC-8118-BA7F7CD37671/450B4EAE-D7BF-4009-9A5F-E65C032EDBF6.jpg","Thumbnail Image")</f>
      </c>
      <c r="V540" s="0">
        <f>HYPERLINK("https://ec-qa-storage.kldlms.com/ItemGallery/08DCF9B0-06BE-4AAC-8118-BA7F7CD37671/8F05323E-3EA0-4404-B0FA-113C9E9DAE01.jpg","Gallery Image ")</f>
      </c>
      <c r="W540" s="0" t="s">
        <v>22</v>
      </c>
      <c r="X540" s="0" t="s">
        <v>2307</v>
      </c>
    </row>
    <row r="541">
      <c r="A541" s="0" t="s">
        <v>2295</v>
      </c>
      <c r="B541" s="0" t="s">
        <v>2295</v>
      </c>
      <c r="C541" s="0" t="s">
        <v>2308</v>
      </c>
      <c r="D541" s="0" t="s">
        <v>27</v>
      </c>
      <c r="E541" s="0" t="s">
        <v>97</v>
      </c>
      <c r="F541" s="0" t="s">
        <v>80</v>
      </c>
      <c r="G541" s="0" t="s">
        <v>2295</v>
      </c>
      <c r="H541" s="0" t="s">
        <v>2295</v>
      </c>
      <c r="I541" s="0" t="s">
        <v>2309</v>
      </c>
      <c r="J541" s="0" t="s">
        <v>2309</v>
      </c>
      <c r="K541" s="0" t="s">
        <v>2310</v>
      </c>
      <c r="L541" s="0" t="s">
        <v>32</v>
      </c>
      <c r="M541" s="0" t="s">
        <v>33</v>
      </c>
      <c r="N541" s="0" t="s">
        <v>164</v>
      </c>
      <c r="O541" s="0" t="s">
        <v>35</v>
      </c>
      <c r="P541" s="0" t="s">
        <v>2083</v>
      </c>
      <c r="Q541" s="0" t="s">
        <v>2311</v>
      </c>
      <c r="R541" s="0" t="s">
        <v>2308</v>
      </c>
      <c r="S541" s="0" t="s">
        <v>164</v>
      </c>
      <c r="T541" s="0">
        <f>HYPERLINK("https://storage.sslt.ae/ItemVariation/08DCF9B0-06D3-4C55-86ED-B78A016ED8F1/6F1A18FC-723E-4381-B40B-4A2C69124723.jpg","Variant Image")</f>
      </c>
      <c r="U541" s="0">
        <f>HYPERLINK("https://ec-qa-storage.kldlms.com/Item/08DCF9B0-06D3-4C55-86ED-B78A016ED8F1/194E1683-599C-4D41-8DCC-FB3BBBEE4B74.jpg","Thumbnail Image")</f>
      </c>
      <c r="V541" s="0">
        <f>HYPERLINK("https://ec-qa-storage.kldlms.com/ItemGallery/08DCF9B0-06D3-4C55-86ED-B78A016ED8F1/FEFE30C9-AAF1-442F-8FAC-AF86A89E960D.jpg","Gallery Image ")</f>
      </c>
      <c r="W541" s="0" t="s">
        <v>22</v>
      </c>
      <c r="X541" s="0" t="s">
        <v>2312</v>
      </c>
    </row>
    <row r="542">
      <c r="A542" s="0" t="s">
        <v>2313</v>
      </c>
      <c r="B542" s="0" t="s">
        <v>2313</v>
      </c>
      <c r="C542" s="0" t="s">
        <v>2314</v>
      </c>
      <c r="D542" s="0" t="s">
        <v>27</v>
      </c>
      <c r="E542" s="0" t="s">
        <v>97</v>
      </c>
      <c r="F542" s="0" t="s">
        <v>80</v>
      </c>
      <c r="G542" s="0" t="s">
        <v>2313</v>
      </c>
      <c r="H542" s="0" t="s">
        <v>2313</v>
      </c>
      <c r="I542" s="0" t="s">
        <v>2315</v>
      </c>
      <c r="J542" s="0" t="s">
        <v>2315</v>
      </c>
      <c r="K542" s="0" t="s">
        <v>2316</v>
      </c>
      <c r="L542" s="0" t="s">
        <v>32</v>
      </c>
      <c r="M542" s="0" t="s">
        <v>33</v>
      </c>
      <c r="N542" s="0" t="s">
        <v>160</v>
      </c>
      <c r="O542" s="0" t="s">
        <v>35</v>
      </c>
      <c r="P542" s="0" t="s">
        <v>2317</v>
      </c>
      <c r="Q542" s="0" t="s">
        <v>2318</v>
      </c>
      <c r="R542" s="0" t="s">
        <v>2314</v>
      </c>
      <c r="S542" s="0" t="s">
        <v>160</v>
      </c>
      <c r="T542" s="0">
        <f>HYPERLINK("https://storage.sslt.ae/ItemVariation/08DCF9B0-06F0-45CA-8B00-92C325DA79C7/487921A1-3233-4B4E-9A89-10196C64D497.jpg","Variant Image")</f>
      </c>
      <c r="U542" s="0">
        <f>HYPERLINK("https://ec-qa-storage.kldlms.com/Item/08DCF9B0-06F0-45CA-8B00-92C325DA79C7/809D5D24-5969-4B12-A67D-8D4199F05202.jpg","Thumbnail Image")</f>
      </c>
      <c r="V542" s="0">
        <f>HYPERLINK("https://ec-qa-storage.kldlms.com/ItemGallery/08DCF9B0-06F0-45CA-8B00-92C325DA79C7/55E245F6-7941-43BF-8545-085AF2FCE6F5.jpg","Gallery Image ")</f>
      </c>
      <c r="W542" s="0" t="s">
        <v>22</v>
      </c>
      <c r="X542" s="0" t="s">
        <v>2319</v>
      </c>
    </row>
    <row r="543">
      <c r="A543" s="0" t="s">
        <v>2295</v>
      </c>
      <c r="B543" s="0" t="s">
        <v>2295</v>
      </c>
      <c r="C543" s="0" t="s">
        <v>2320</v>
      </c>
      <c r="D543" s="0" t="s">
        <v>27</v>
      </c>
      <c r="E543" s="0" t="s">
        <v>97</v>
      </c>
      <c r="F543" s="0" t="s">
        <v>80</v>
      </c>
      <c r="G543" s="0" t="s">
        <v>2295</v>
      </c>
      <c r="H543" s="0" t="s">
        <v>2295</v>
      </c>
      <c r="I543" s="0" t="s">
        <v>2321</v>
      </c>
      <c r="J543" s="0" t="s">
        <v>2321</v>
      </c>
      <c r="K543" s="0" t="s">
        <v>286</v>
      </c>
      <c r="L543" s="0" t="s">
        <v>32</v>
      </c>
      <c r="M543" s="0" t="s">
        <v>33</v>
      </c>
      <c r="N543" s="0" t="s">
        <v>202</v>
      </c>
      <c r="O543" s="0" t="s">
        <v>35</v>
      </c>
      <c r="P543" s="0" t="s">
        <v>39</v>
      </c>
      <c r="Q543" s="0" t="s">
        <v>2322</v>
      </c>
      <c r="R543" s="0" t="s">
        <v>2320</v>
      </c>
      <c r="S543" s="0" t="s">
        <v>202</v>
      </c>
      <c r="T543" s="0">
        <f>HYPERLINK("https://storage.sslt.ae/ItemVariation/08DCF9B0-0700-4AF2-8E42-01420DB42841/92B07CAA-A364-419D-9BF3-CB25B37748A5.jpg","Variant Image")</f>
      </c>
      <c r="U543" s="0">
        <f>HYPERLINK("https://ec-qa-storage.kldlms.com/Item/08DCF9B0-0700-4AF2-8E42-01420DB42841/24392197-2FA0-4A13-95F5-521E6D4747C4.jpg","Thumbnail Image")</f>
      </c>
      <c r="V543" s="0">
        <f>HYPERLINK("https://ec-qa-storage.kldlms.com/ItemGallery/08DCF9B0-0700-4AF2-8E42-01420DB42841/6BF3C017-CBEE-4DA0-9AC1-08F9D2EFD05B.jpg","Gallery Image ")</f>
      </c>
      <c r="W543" s="0" t="s">
        <v>22</v>
      </c>
      <c r="X543" s="0" t="s">
        <v>2323</v>
      </c>
    </row>
    <row r="544">
      <c r="A544" s="0" t="s">
        <v>2295</v>
      </c>
      <c r="B544" s="0" t="s">
        <v>2295</v>
      </c>
      <c r="C544" s="0" t="s">
        <v>2324</v>
      </c>
      <c r="D544" s="0" t="s">
        <v>27</v>
      </c>
      <c r="E544" s="0" t="s">
        <v>97</v>
      </c>
      <c r="F544" s="0" t="s">
        <v>80</v>
      </c>
      <c r="G544" s="0" t="s">
        <v>2295</v>
      </c>
      <c r="H544" s="0" t="s">
        <v>2295</v>
      </c>
      <c r="I544" s="0" t="s">
        <v>2325</v>
      </c>
      <c r="J544" s="0" t="s">
        <v>2325</v>
      </c>
      <c r="K544" s="0" t="s">
        <v>2326</v>
      </c>
      <c r="L544" s="0" t="s">
        <v>32</v>
      </c>
      <c r="M544" s="0" t="s">
        <v>33</v>
      </c>
      <c r="N544" s="0" t="s">
        <v>100</v>
      </c>
      <c r="O544" s="0" t="s">
        <v>35</v>
      </c>
      <c r="P544" s="0" t="s">
        <v>39</v>
      </c>
      <c r="Q544" s="0" t="s">
        <v>2327</v>
      </c>
      <c r="R544" s="0" t="s">
        <v>2324</v>
      </c>
      <c r="S544" s="0" t="s">
        <v>100</v>
      </c>
      <c r="T544" s="0">
        <f>HYPERLINK("https://storage.sslt.ae/ItemVariation/08DCF9B0-0710-4452-8CBB-B0D83AB7F46E/11FB73FB-DD07-4F93-BE44-E8FFD59A134F.jpg","Variant Image")</f>
      </c>
      <c r="U544" s="0">
        <f>HYPERLINK("https://ec-qa-storage.kldlms.com/Item/08DCF9B0-0710-4452-8CBB-B0D83AB7F46E/C47F33B4-136D-4776-89E4-C381057E28C0.jpg","Thumbnail Image")</f>
      </c>
      <c r="V544" s="0">
        <f>HYPERLINK("https://ec-qa-storage.kldlms.com/ItemGallery/08DCF9B0-0710-4452-8CBB-B0D83AB7F46E/764DD90E-0A05-4F8D-91DB-D11FFD640EC5.jpg","Gallery Image ")</f>
      </c>
      <c r="W544" s="0" t="s">
        <v>22</v>
      </c>
      <c r="X544" s="0" t="s">
        <v>2328</v>
      </c>
    </row>
    <row r="545">
      <c r="A545" s="0" t="s">
        <v>2295</v>
      </c>
      <c r="B545" s="0" t="s">
        <v>2295</v>
      </c>
      <c r="C545" s="0" t="s">
        <v>2329</v>
      </c>
      <c r="D545" s="0" t="s">
        <v>27</v>
      </c>
      <c r="E545" s="0" t="s">
        <v>97</v>
      </c>
      <c r="F545" s="0" t="s">
        <v>80</v>
      </c>
      <c r="G545" s="0" t="s">
        <v>2295</v>
      </c>
      <c r="H545" s="0" t="s">
        <v>2295</v>
      </c>
      <c r="I545" s="0" t="s">
        <v>2330</v>
      </c>
      <c r="J545" s="0" t="s">
        <v>2330</v>
      </c>
      <c r="K545" s="0" t="s">
        <v>2331</v>
      </c>
      <c r="L545" s="0" t="s">
        <v>32</v>
      </c>
      <c r="M545" s="0" t="s">
        <v>33</v>
      </c>
      <c r="N545" s="0" t="s">
        <v>280</v>
      </c>
      <c r="O545" s="0" t="s">
        <v>35</v>
      </c>
      <c r="P545" s="0" t="s">
        <v>39</v>
      </c>
      <c r="Q545" s="0" t="s">
        <v>2332</v>
      </c>
      <c r="R545" s="0" t="s">
        <v>2329</v>
      </c>
      <c r="S545" s="0" t="s">
        <v>280</v>
      </c>
      <c r="T545" s="0">
        <f>HYPERLINK("https://storage.sslt.ae/ItemVariation/08DCF9B0-0720-43EB-83BB-3CC6300C2164/ADAC3BB5-187F-4CDC-BC2C-4D9C21F88D4F.jpg","Variant Image")</f>
      </c>
      <c r="U545" s="0">
        <f>HYPERLINK("https://ec-qa-storage.kldlms.com/Item/08DCF9B0-0720-43EB-83BB-3CC6300C2164/2F5DE9DF-615D-475A-A575-55054E44E9AA.jpg","Thumbnail Image")</f>
      </c>
      <c r="V545" s="0">
        <f>HYPERLINK("https://ec-qa-storage.kldlms.com/ItemGallery/08DCF9B0-0720-43EB-83BB-3CC6300C2164/6984E861-C468-47AB-BEF8-3D64A8B92C1F.jpg","Gallery Image ")</f>
      </c>
      <c r="W545" s="0" t="s">
        <v>22</v>
      </c>
      <c r="X545" s="0" t="s">
        <v>2333</v>
      </c>
    </row>
    <row r="546">
      <c r="A546" s="0" t="s">
        <v>2295</v>
      </c>
      <c r="B546" s="0" t="s">
        <v>2295</v>
      </c>
      <c r="C546" s="0" t="s">
        <v>2334</v>
      </c>
      <c r="D546" s="0" t="s">
        <v>27</v>
      </c>
      <c r="E546" s="0" t="s">
        <v>97</v>
      </c>
      <c r="F546" s="0" t="s">
        <v>80</v>
      </c>
      <c r="G546" s="0" t="s">
        <v>2295</v>
      </c>
      <c r="H546" s="0" t="s">
        <v>2295</v>
      </c>
      <c r="I546" s="0" t="s">
        <v>2335</v>
      </c>
      <c r="J546" s="0" t="s">
        <v>2335</v>
      </c>
      <c r="K546" s="0" t="s">
        <v>2336</v>
      </c>
      <c r="L546" s="0" t="s">
        <v>32</v>
      </c>
      <c r="M546" s="0" t="s">
        <v>33</v>
      </c>
      <c r="N546" s="0" t="s">
        <v>205</v>
      </c>
      <c r="O546" s="0" t="s">
        <v>35</v>
      </c>
      <c r="P546" s="0" t="s">
        <v>39</v>
      </c>
      <c r="Q546" s="0" t="s">
        <v>2337</v>
      </c>
      <c r="R546" s="0" t="s">
        <v>2334</v>
      </c>
      <c r="S546" s="0" t="s">
        <v>205</v>
      </c>
      <c r="T546" s="0">
        <f>HYPERLINK("https://storage.sslt.ae/ItemVariation/08DCF9B0-073B-43AF-8C2D-680CBBACC29A/59FB5B04-FD72-4CD4-B860-6744F42CFC22.jpg","Variant Image")</f>
      </c>
      <c r="U546" s="0">
        <f>HYPERLINK("https://ec-qa-storage.kldlms.com/Item/08DCF9B0-073B-43AF-8C2D-680CBBACC29A/4554533C-A99C-4821-A2CD-4E9308F2DA69.jpg","Thumbnail Image")</f>
      </c>
      <c r="V546" s="0">
        <f>HYPERLINK("https://ec-qa-storage.kldlms.com/ItemGallery/08DCF9B0-073B-43AF-8C2D-680CBBACC29A/63EEC3B7-BE99-4548-85D5-AAA6B71D73BE.jpg","Gallery Image ")</f>
      </c>
      <c r="W546" s="0" t="s">
        <v>22</v>
      </c>
      <c r="X546" s="0" t="s">
        <v>2338</v>
      </c>
    </row>
    <row r="547">
      <c r="A547" s="0" t="s">
        <v>2339</v>
      </c>
      <c r="B547" s="0" t="s">
        <v>2339</v>
      </c>
      <c r="C547" s="0" t="s">
        <v>2340</v>
      </c>
      <c r="D547" s="0" t="s">
        <v>27</v>
      </c>
      <c r="E547" s="0" t="s">
        <v>97</v>
      </c>
      <c r="F547" s="0" t="s">
        <v>80</v>
      </c>
      <c r="G547" s="0" t="s">
        <v>2339</v>
      </c>
      <c r="H547" s="0" t="s">
        <v>2339</v>
      </c>
      <c r="I547" s="0" t="s">
        <v>2341</v>
      </c>
      <c r="J547" s="0" t="s">
        <v>2341</v>
      </c>
      <c r="K547" s="0" t="s">
        <v>2342</v>
      </c>
      <c r="L547" s="0" t="s">
        <v>32</v>
      </c>
      <c r="M547" s="0" t="s">
        <v>33</v>
      </c>
      <c r="N547" s="0" t="s">
        <v>866</v>
      </c>
      <c r="O547" s="0" t="s">
        <v>35</v>
      </c>
      <c r="P547" s="0" t="s">
        <v>39</v>
      </c>
      <c r="Q547" s="0" t="s">
        <v>2343</v>
      </c>
      <c r="R547" s="0" t="s">
        <v>2340</v>
      </c>
      <c r="S547" s="0" t="s">
        <v>866</v>
      </c>
      <c r="T547" s="0">
        <f>HYPERLINK("https://storage.sslt.ae/ItemVariation/08DCF9B0-0750-4877-84FD-E701AF996FEB/E3BEA9B1-10B3-4744-A56D-FDD8F1B22F05.jpg","Variant Image")</f>
      </c>
      <c r="U547" s="0">
        <f>HYPERLINK("https://ec-qa-storage.kldlms.com/Item/08DCF9B0-0750-4877-84FD-E701AF996FEB/D58B57C4-D96B-4EDE-96F3-FF17D4E3D777.jpg","Thumbnail Image")</f>
      </c>
      <c r="V547" s="0">
        <f>HYPERLINK("https://ec-qa-storage.kldlms.com/ItemGallery/08DCF9B0-0750-4877-84FD-E701AF996FEB/E0D57FF7-C310-4064-8071-CC1675E52D87.jpg","Gallery Image ")</f>
      </c>
      <c r="W547" s="0" t="s">
        <v>22</v>
      </c>
      <c r="X547" s="0" t="s">
        <v>2344</v>
      </c>
    </row>
    <row r="548">
      <c r="A548" s="0" t="s">
        <v>2339</v>
      </c>
      <c r="B548" s="0" t="s">
        <v>2339</v>
      </c>
      <c r="C548" s="0" t="s">
        <v>2345</v>
      </c>
      <c r="D548" s="0" t="s">
        <v>27</v>
      </c>
      <c r="E548" s="0" t="s">
        <v>97</v>
      </c>
      <c r="F548" s="0" t="s">
        <v>80</v>
      </c>
      <c r="G548" s="0" t="s">
        <v>2339</v>
      </c>
      <c r="H548" s="0" t="s">
        <v>2339</v>
      </c>
      <c r="I548" s="0" t="s">
        <v>2346</v>
      </c>
      <c r="J548" s="0" t="s">
        <v>2346</v>
      </c>
      <c r="K548" s="0" t="s">
        <v>2347</v>
      </c>
      <c r="L548" s="0" t="s">
        <v>32</v>
      </c>
      <c r="M548" s="0" t="s">
        <v>33</v>
      </c>
      <c r="N548" s="0" t="s">
        <v>110</v>
      </c>
      <c r="O548" s="0" t="s">
        <v>35</v>
      </c>
      <c r="P548" s="0" t="s">
        <v>39</v>
      </c>
      <c r="Q548" s="0" t="s">
        <v>2348</v>
      </c>
      <c r="R548" s="0" t="s">
        <v>2345</v>
      </c>
      <c r="S548" s="0" t="s">
        <v>110</v>
      </c>
      <c r="T548" s="0">
        <f>HYPERLINK("https://storage.sslt.ae/ItemVariation/08DCF9B0-0765-4E72-87D2-D41A1BC57D6F/4223836E-F8AA-41D9-B61B-D7F576A730A6.jpg","Variant Image")</f>
      </c>
      <c r="U548" s="0">
        <f>HYPERLINK("https://ec-qa-storage.kldlms.com/Item/08DCF9B0-0765-4E72-87D2-D41A1BC57D6F/FEBAB516-5FF6-480E-B81F-558ED97CCE3C.jpg","Thumbnail Image")</f>
      </c>
      <c r="V548" s="0">
        <f>HYPERLINK("https://ec-qa-storage.kldlms.com/ItemGallery/08DCF9B0-0765-4E72-87D2-D41A1BC57D6F/99C0F9D6-F8B6-466B-9871-6C8361D344C6.jpg","Gallery Image ")</f>
      </c>
      <c r="W548" s="0" t="s">
        <v>22</v>
      </c>
      <c r="X548" s="0" t="s">
        <v>2349</v>
      </c>
    </row>
    <row r="549">
      <c r="A549" s="0" t="s">
        <v>2268</v>
      </c>
      <c r="B549" s="0" t="s">
        <v>2268</v>
      </c>
      <c r="C549" s="0" t="s">
        <v>2350</v>
      </c>
      <c r="D549" s="0" t="s">
        <v>27</v>
      </c>
      <c r="E549" s="0" t="s">
        <v>97</v>
      </c>
      <c r="F549" s="0" t="s">
        <v>80</v>
      </c>
      <c r="G549" s="0" t="s">
        <v>2268</v>
      </c>
      <c r="H549" s="0" t="s">
        <v>2268</v>
      </c>
      <c r="I549" s="0" t="s">
        <v>2351</v>
      </c>
      <c r="J549" s="0" t="s">
        <v>2351</v>
      </c>
      <c r="K549" s="0" t="s">
        <v>2352</v>
      </c>
      <c r="L549" s="0" t="s">
        <v>32</v>
      </c>
      <c r="M549" s="0" t="s">
        <v>33</v>
      </c>
      <c r="N549" s="0" t="s">
        <v>155</v>
      </c>
      <c r="O549" s="0" t="s">
        <v>35</v>
      </c>
      <c r="P549" s="0" t="s">
        <v>39</v>
      </c>
      <c r="Q549" s="0" t="s">
        <v>2353</v>
      </c>
      <c r="R549" s="0" t="s">
        <v>2350</v>
      </c>
      <c r="S549" s="0" t="s">
        <v>155</v>
      </c>
      <c r="T549" s="0">
        <f>HYPERLINK("https://storage.sslt.ae/ItemVariation/08DCF9B0-0780-4F43-89B0-0EA61194D1E8/ECD7F5E3-DA93-46A0-AD89-1E9CA53B6A82.jpg","Variant Image")</f>
      </c>
      <c r="U549" s="0">
        <f>HYPERLINK("https://ec-qa-storage.kldlms.com/Item/08DCF9B0-0780-4F43-89B0-0EA61194D1E8/ADF18478-D857-4A64-8FFE-AAD98D6A38EC.jpg","Thumbnail Image")</f>
      </c>
      <c r="V549" s="0">
        <f>HYPERLINK("https://ec-qa-storage.kldlms.com/ItemGallery/08DCF9B0-0780-4F43-89B0-0EA61194D1E8/497F55C8-C54C-4F1F-B688-D69F1938C429.jpg","Gallery Image ")</f>
      </c>
      <c r="W549" s="0" t="s">
        <v>22</v>
      </c>
      <c r="X549" s="0" t="s">
        <v>2354</v>
      </c>
    </row>
    <row r="550">
      <c r="A550" s="0" t="s">
        <v>2301</v>
      </c>
      <c r="B550" s="0" t="s">
        <v>2301</v>
      </c>
      <c r="C550" s="0" t="s">
        <v>2355</v>
      </c>
      <c r="D550" s="0" t="s">
        <v>27</v>
      </c>
      <c r="E550" s="0" t="s">
        <v>97</v>
      </c>
      <c r="F550" s="0" t="s">
        <v>80</v>
      </c>
      <c r="G550" s="0" t="s">
        <v>2301</v>
      </c>
      <c r="H550" s="0" t="s">
        <v>2301</v>
      </c>
      <c r="I550" s="0" t="s">
        <v>2356</v>
      </c>
      <c r="J550" s="0" t="s">
        <v>2356</v>
      </c>
      <c r="K550" s="0" t="s">
        <v>2357</v>
      </c>
      <c r="L550" s="0" t="s">
        <v>32</v>
      </c>
      <c r="M550" s="0" t="s">
        <v>33</v>
      </c>
      <c r="N550" s="0" t="s">
        <v>2358</v>
      </c>
      <c r="O550" s="0" t="s">
        <v>35</v>
      </c>
      <c r="P550" s="0" t="s">
        <v>39</v>
      </c>
      <c r="Q550" s="0" t="s">
        <v>2359</v>
      </c>
      <c r="R550" s="0" t="s">
        <v>2355</v>
      </c>
      <c r="S550" s="0" t="s">
        <v>2358</v>
      </c>
      <c r="T550" s="0">
        <f>HYPERLINK("https://storage.sslt.ae/ItemVariation/08DCF9B0-0795-4E17-8995-A612FAAC9B09/82A11D68-9957-4951-9B42-5CB4B57E8FF4.jpg","Variant Image")</f>
      </c>
      <c r="U550" s="0">
        <f>HYPERLINK("https://ec-qa-storage.kldlms.com/Item/08DCF9B0-0795-4E17-8995-A612FAAC9B09/002AED30-94C7-4EC8-9755-0F75BDA0F33F.jpg","Thumbnail Image")</f>
      </c>
      <c r="V550" s="0">
        <f>HYPERLINK("https://ec-qa-storage.kldlms.com/ItemGallery/08DCF9B0-0795-4E17-8995-A612FAAC9B09/EA52227B-8ADA-4F08-BD94-8C528E0EE46E.jpg","Gallery Image ")</f>
      </c>
      <c r="W550" s="0" t="s">
        <v>22</v>
      </c>
      <c r="X550" s="0" t="s">
        <v>2360</v>
      </c>
    </row>
    <row r="551">
      <c r="A551" s="0" t="s">
        <v>2301</v>
      </c>
      <c r="B551" s="0" t="s">
        <v>2301</v>
      </c>
      <c r="C551" s="0" t="s">
        <v>2361</v>
      </c>
      <c r="D551" s="0" t="s">
        <v>27</v>
      </c>
      <c r="E551" s="0" t="s">
        <v>97</v>
      </c>
      <c r="F551" s="0" t="s">
        <v>80</v>
      </c>
      <c r="G551" s="0" t="s">
        <v>2301</v>
      </c>
      <c r="H551" s="0" t="s">
        <v>2301</v>
      </c>
      <c r="I551" s="0" t="s">
        <v>2362</v>
      </c>
      <c r="J551" s="0" t="s">
        <v>2362</v>
      </c>
      <c r="K551" s="0" t="s">
        <v>2363</v>
      </c>
      <c r="L551" s="0" t="s">
        <v>32</v>
      </c>
      <c r="M551" s="0" t="s">
        <v>33</v>
      </c>
      <c r="N551" s="0" t="s">
        <v>2364</v>
      </c>
      <c r="O551" s="0" t="s">
        <v>35</v>
      </c>
      <c r="P551" s="0" t="s">
        <v>39</v>
      </c>
      <c r="Q551" s="0" t="s">
        <v>2365</v>
      </c>
      <c r="R551" s="0" t="s">
        <v>2361</v>
      </c>
      <c r="S551" s="0" t="s">
        <v>2364</v>
      </c>
      <c r="T551" s="0">
        <f>HYPERLINK("https://storage.sslt.ae/ItemVariation/08DCF9B0-07A4-4183-88BB-F17E0F1333D1/3600AD6E-4151-4D66-AB23-A988397384AF.jpg","Variant Image")</f>
      </c>
      <c r="U551" s="0">
        <f>HYPERLINK("https://ec-qa-storage.kldlms.com/Item/08DCF9B0-07A4-4183-88BB-F17E0F1333D1/DCEAD2D4-8C64-4A08-8224-8AC695CF0428.jpg","Thumbnail Image")</f>
      </c>
      <c r="V551" s="0">
        <f>HYPERLINK("https://ec-qa-storage.kldlms.com/ItemGallery/08DCF9B0-07A4-4183-88BB-F17E0F1333D1/7BC512FA-1304-4552-86CD-7217761094D2.jpg","Gallery Image ")</f>
      </c>
      <c r="W551" s="0" t="s">
        <v>22</v>
      </c>
      <c r="X551" s="0" t="s">
        <v>2366</v>
      </c>
    </row>
    <row r="552">
      <c r="A552" s="0" t="s">
        <v>2367</v>
      </c>
      <c r="B552" s="0" t="s">
        <v>2367</v>
      </c>
      <c r="C552" s="0" t="s">
        <v>2368</v>
      </c>
      <c r="D552" s="0" t="s">
        <v>27</v>
      </c>
      <c r="E552" s="0" t="s">
        <v>97</v>
      </c>
      <c r="F552" s="0" t="s">
        <v>80</v>
      </c>
      <c r="G552" s="0" t="s">
        <v>2367</v>
      </c>
      <c r="H552" s="0" t="s">
        <v>2367</v>
      </c>
      <c r="I552" s="0" t="s">
        <v>2369</v>
      </c>
      <c r="J552" s="0" t="s">
        <v>2369</v>
      </c>
      <c r="K552" s="0" t="s">
        <v>2370</v>
      </c>
      <c r="L552" s="0" t="s">
        <v>32</v>
      </c>
      <c r="M552" s="0" t="s">
        <v>33</v>
      </c>
      <c r="N552" s="0" t="s">
        <v>1232</v>
      </c>
      <c r="O552" s="0" t="s">
        <v>35</v>
      </c>
      <c r="P552" s="0" t="s">
        <v>39</v>
      </c>
      <c r="Q552" s="0" t="s">
        <v>2371</v>
      </c>
      <c r="R552" s="0" t="s">
        <v>2368</v>
      </c>
      <c r="S552" s="0" t="s">
        <v>1232</v>
      </c>
      <c r="T552" s="0">
        <f>HYPERLINK("https://storage.sslt.ae/ItemVariation/08DCF9B0-07B3-4793-8EA0-980AB3861E43/08623A03-65F9-49D9-A4B9-106480FA95EA.jpg","Variant Image")</f>
      </c>
      <c r="U552" s="0">
        <f>HYPERLINK("https://ec-qa-storage.kldlms.com/Item/08DCF9B0-07B3-4793-8EA0-980AB3861E43/2268E2CE-0365-43DE-A61F-602A4F34E2F0.jpg","Thumbnail Image")</f>
      </c>
      <c r="V552" s="0">
        <f>HYPERLINK("https://ec-qa-storage.kldlms.com/ItemGallery/08DCF9B0-07B3-4793-8EA0-980AB3861E43/59824A41-C974-46E4-B908-0DFAED974BAB.jpg","Gallery Image ")</f>
      </c>
      <c r="W552" s="0" t="s">
        <v>22</v>
      </c>
      <c r="X552" s="0" t="s">
        <v>2372</v>
      </c>
    </row>
    <row r="553">
      <c r="A553" s="0" t="s">
        <v>2373</v>
      </c>
      <c r="B553" s="0" t="s">
        <v>2373</v>
      </c>
      <c r="C553" s="0" t="s">
        <v>2374</v>
      </c>
      <c r="D553" s="0" t="s">
        <v>27</v>
      </c>
      <c r="E553" s="0" t="s">
        <v>97</v>
      </c>
      <c r="F553" s="0" t="s">
        <v>80</v>
      </c>
      <c r="G553" s="0" t="s">
        <v>2373</v>
      </c>
      <c r="H553" s="0" t="s">
        <v>2373</v>
      </c>
      <c r="I553" s="0" t="s">
        <v>2375</v>
      </c>
      <c r="J553" s="0" t="s">
        <v>2375</v>
      </c>
      <c r="K553" s="0" t="s">
        <v>2376</v>
      </c>
      <c r="L553" s="0" t="s">
        <v>32</v>
      </c>
      <c r="M553" s="0" t="s">
        <v>33</v>
      </c>
      <c r="N553" s="0" t="s">
        <v>787</v>
      </c>
      <c r="O553" s="0" t="s">
        <v>35</v>
      </c>
      <c r="P553" s="0" t="s">
        <v>39</v>
      </c>
      <c r="Q553" s="0" t="s">
        <v>2377</v>
      </c>
      <c r="R553" s="0" t="s">
        <v>2374</v>
      </c>
      <c r="S553" s="0" t="s">
        <v>787</v>
      </c>
      <c r="T553" s="0">
        <f>HYPERLINK("https://storage.sslt.ae/ItemVariation/08DCF9B0-07D8-4027-8941-A27C7F2B00B5/CD46C61E-09AC-4E29-AAFA-595B27085E14.jpg","Variant Image")</f>
      </c>
      <c r="U553" s="0">
        <f>HYPERLINK("https://ec-qa-storage.kldlms.com/Item/08DCF9B0-07D8-4027-8941-A27C7F2B00B5/6F962081-7109-4263-9BAF-0A736405C262.jpg","Thumbnail Image")</f>
      </c>
      <c r="V553" s="0">
        <f>HYPERLINK("https://ec-qa-storage.kldlms.com/ItemGallery/08DCF9B0-07D8-4027-8941-A27C7F2B00B5/350D995E-9E44-4051-8C1C-76F5D3E9ACFA.jpg","Gallery Image ")</f>
      </c>
      <c r="W553" s="0" t="s">
        <v>22</v>
      </c>
      <c r="X553" s="0" t="s">
        <v>2378</v>
      </c>
    </row>
    <row r="554">
      <c r="A554" s="0" t="s">
        <v>95</v>
      </c>
      <c r="B554" s="0" t="s">
        <v>95</v>
      </c>
      <c r="C554" s="0" t="s">
        <v>2379</v>
      </c>
      <c r="D554" s="0" t="s">
        <v>27</v>
      </c>
      <c r="E554" s="0" t="s">
        <v>97</v>
      </c>
      <c r="F554" s="0" t="s">
        <v>80</v>
      </c>
      <c r="G554" s="0" t="s">
        <v>95</v>
      </c>
      <c r="H554" s="0" t="s">
        <v>95</v>
      </c>
      <c r="I554" s="0" t="s">
        <v>2380</v>
      </c>
      <c r="J554" s="0" t="s">
        <v>2380</v>
      </c>
      <c r="K554" s="0" t="s">
        <v>2381</v>
      </c>
      <c r="L554" s="0" t="s">
        <v>32</v>
      </c>
      <c r="M554" s="0" t="s">
        <v>33</v>
      </c>
      <c r="N554" s="0" t="s">
        <v>243</v>
      </c>
      <c r="O554" s="0" t="s">
        <v>35</v>
      </c>
      <c r="P554" s="0" t="s">
        <v>39</v>
      </c>
      <c r="Q554" s="0" t="s">
        <v>2382</v>
      </c>
      <c r="R554" s="0" t="s">
        <v>2379</v>
      </c>
      <c r="S554" s="0" t="s">
        <v>243</v>
      </c>
      <c r="T554" s="0">
        <f>HYPERLINK("https://storage.sslt.ae/ItemVariation/08DCF9B0-07E7-45A0-8791-809F4C78EF60/41412911-257B-4F44-81A1-EBD0F815544D.jpg","Variant Image")</f>
      </c>
      <c r="U554" s="0">
        <f>HYPERLINK("https://ec-qa-storage.kldlms.com/Item/08DCF9B0-07E7-45A0-8791-809F4C78EF60/F1E36ABF-68CF-4D3E-8B01-1938D06C5960.jpg","Thumbnail Image")</f>
      </c>
      <c r="V554" s="0">
        <f>HYPERLINK("https://ec-qa-storage.kldlms.com/ItemGallery/08DCF9B0-07E7-45A0-8791-809F4C78EF60/43E2AFAC-62FD-4FF4-A49A-4A89F041098F.jpg","Gallery Image ")</f>
      </c>
      <c r="W554" s="0" t="s">
        <v>22</v>
      </c>
      <c r="X554" s="0" t="s">
        <v>2383</v>
      </c>
    </row>
    <row r="555">
      <c r="A555" s="0" t="s">
        <v>2384</v>
      </c>
      <c r="B555" s="0" t="s">
        <v>2384</v>
      </c>
      <c r="C555" s="0" t="s">
        <v>2385</v>
      </c>
      <c r="D555" s="0" t="s">
        <v>27</v>
      </c>
      <c r="E555" s="0" t="s">
        <v>97</v>
      </c>
      <c r="F555" s="0" t="s">
        <v>80</v>
      </c>
      <c r="G555" s="0" t="s">
        <v>2384</v>
      </c>
      <c r="H555" s="0" t="s">
        <v>2384</v>
      </c>
      <c r="I555" s="0" t="s">
        <v>2386</v>
      </c>
      <c r="J555" s="0" t="s">
        <v>2386</v>
      </c>
      <c r="K555" s="0" t="s">
        <v>2387</v>
      </c>
      <c r="L555" s="0" t="s">
        <v>32</v>
      </c>
      <c r="M555" s="0" t="s">
        <v>33</v>
      </c>
      <c r="N555" s="0" t="s">
        <v>1119</v>
      </c>
      <c r="O555" s="0" t="s">
        <v>35</v>
      </c>
      <c r="P555" s="0" t="s">
        <v>39</v>
      </c>
      <c r="Q555" s="0" t="s">
        <v>2388</v>
      </c>
      <c r="R555" s="0" t="s">
        <v>2385</v>
      </c>
      <c r="S555" s="0" t="s">
        <v>1119</v>
      </c>
      <c r="T555" s="0">
        <f>HYPERLINK("https://storage.sslt.ae/ItemVariation/08DCF9B0-0803-4EE4-8620-7AF40E1EED3C/12F54030-6585-425B-AEF9-4DE843185C7A.jpg","Variant Image")</f>
      </c>
      <c r="U555" s="0">
        <f>HYPERLINK("https://ec-qa-storage.kldlms.com/Item/08DCF9B0-0803-4EE4-8620-7AF40E1EED3C/4233DB19-A94B-4847-B81B-44FADE0D0EE5.jpg","Thumbnail Image")</f>
      </c>
      <c r="V555" s="0">
        <f>HYPERLINK("https://ec-qa-storage.kldlms.com/ItemGallery/08DCF9B0-0803-4EE4-8620-7AF40E1EED3C/985D019C-C95F-4D19-9D46-9D450AE4A3A6.jpg","Gallery Image ")</f>
      </c>
      <c r="W555" s="0" t="s">
        <v>22</v>
      </c>
      <c r="X555" s="0" t="s">
        <v>2389</v>
      </c>
    </row>
    <row r="556">
      <c r="A556" s="0" t="s">
        <v>2301</v>
      </c>
      <c r="B556" s="0" t="s">
        <v>2301</v>
      </c>
      <c r="C556" s="0" t="s">
        <v>2390</v>
      </c>
      <c r="D556" s="0" t="s">
        <v>27</v>
      </c>
      <c r="E556" s="0" t="s">
        <v>97</v>
      </c>
      <c r="F556" s="0" t="s">
        <v>80</v>
      </c>
      <c r="G556" s="0" t="s">
        <v>2301</v>
      </c>
      <c r="H556" s="0" t="s">
        <v>2301</v>
      </c>
      <c r="I556" s="0" t="s">
        <v>2391</v>
      </c>
      <c r="J556" s="0" t="s">
        <v>2391</v>
      </c>
      <c r="K556" s="0" t="s">
        <v>2392</v>
      </c>
      <c r="L556" s="0" t="s">
        <v>32</v>
      </c>
      <c r="M556" s="0" t="s">
        <v>33</v>
      </c>
      <c r="N556" s="0" t="s">
        <v>276</v>
      </c>
      <c r="O556" s="0" t="s">
        <v>35</v>
      </c>
      <c r="P556" s="0" t="s">
        <v>39</v>
      </c>
      <c r="Q556" s="0" t="s">
        <v>2393</v>
      </c>
      <c r="R556" s="0" t="s">
        <v>2390</v>
      </c>
      <c r="S556" s="0" t="s">
        <v>276</v>
      </c>
      <c r="T556" s="0">
        <f>HYPERLINK("https://storage.sslt.ae/ItemVariation/08DCF9B0-081E-4FC6-8A4E-D09F9C3D3A3D/2CE8C49D-C6E0-4416-9597-4B3137793A57.jpg","Variant Image")</f>
      </c>
      <c r="U556" s="0">
        <f>HYPERLINK("https://ec-qa-storage.kldlms.com/Item/08DCF9B0-081E-4FC6-8A4E-D09F9C3D3A3D/E3DAAAC1-4643-4099-AA2D-611CAFC77303.jpg","Thumbnail Image")</f>
      </c>
      <c r="V556" s="0">
        <f>HYPERLINK("https://ec-qa-storage.kldlms.com/ItemGallery/08DCF9B0-081E-4FC6-8A4E-D09F9C3D3A3D/9218175B-11CF-4C79-8214-CFDC926E464B.jpg","Gallery Image ")</f>
      </c>
      <c r="W556" s="0" t="s">
        <v>22</v>
      </c>
      <c r="X556" s="0" t="s">
        <v>2394</v>
      </c>
    </row>
    <row r="557">
      <c r="A557" s="0" t="s">
        <v>2395</v>
      </c>
      <c r="B557" s="0" t="s">
        <v>2395</v>
      </c>
      <c r="C557" s="0" t="s">
        <v>2396</v>
      </c>
      <c r="D557" s="0" t="s">
        <v>27</v>
      </c>
      <c r="E557" s="0" t="s">
        <v>2397</v>
      </c>
      <c r="F557" s="0" t="s">
        <v>80</v>
      </c>
      <c r="G557" s="0" t="s">
        <v>2395</v>
      </c>
      <c r="H557" s="0" t="s">
        <v>2395</v>
      </c>
      <c r="I557" s="0" t="s">
        <v>2398</v>
      </c>
      <c r="J557" s="0" t="s">
        <v>2398</v>
      </c>
      <c r="K557" s="0" t="s">
        <v>2399</v>
      </c>
      <c r="L557" s="0" t="s">
        <v>32</v>
      </c>
      <c r="M557" s="0" t="s">
        <v>33</v>
      </c>
      <c r="N557" s="0" t="s">
        <v>35</v>
      </c>
      <c r="O557" s="0" t="s">
        <v>35</v>
      </c>
      <c r="P557" s="0" t="s">
        <v>2083</v>
      </c>
      <c r="Q557" s="0" t="s">
        <v>2400</v>
      </c>
      <c r="R557" s="0" t="s">
        <v>2396</v>
      </c>
      <c r="S557" s="0" t="s">
        <v>35</v>
      </c>
      <c r="T557" s="0">
        <f>HYPERLINK("https://storage.sslt.ae/ItemVariation/08DCF9B0-0AE4-4EA2-8733-EEFB525E20E9/E51AC0A3-9BAE-4CD5-8142-C863D3FCC019.jpg","Variant Image")</f>
      </c>
      <c r="U557" s="0">
        <f>HYPERLINK("https://ec-qa-storage.kldlms.com/Item/08DCF9B0-0AE4-4EA2-8733-EEFB525E20E9/8E05975F-7C8E-43E9-AE29-99159A319D12.jpg","Thumbnail Image")</f>
      </c>
      <c r="V557" s="0">
        <f>HYPERLINK("https://ec-qa-storage.kldlms.com/ItemGallery/08DCF9B0-0AE4-4EA2-8733-EEFB525E20E9/B89A46B3-9908-4B8B-BDCE-F6AB6EA4D2A8.jpg","Gallery Image ")</f>
      </c>
      <c r="W557" s="0" t="s">
        <v>22</v>
      </c>
      <c r="X557" s="0" t="s">
        <v>2401</v>
      </c>
    </row>
    <row r="558">
      <c r="A558" s="0" t="s">
        <v>2395</v>
      </c>
      <c r="B558" s="0" t="s">
        <v>2395</v>
      </c>
      <c r="C558" s="0" t="s">
        <v>2402</v>
      </c>
      <c r="D558" s="0" t="s">
        <v>27</v>
      </c>
      <c r="E558" s="0" t="s">
        <v>2397</v>
      </c>
      <c r="F558" s="0" t="s">
        <v>80</v>
      </c>
      <c r="G558" s="0" t="s">
        <v>2395</v>
      </c>
      <c r="H558" s="0" t="s">
        <v>2395</v>
      </c>
      <c r="I558" s="0" t="s">
        <v>2403</v>
      </c>
      <c r="J558" s="0" t="s">
        <v>2403</v>
      </c>
      <c r="K558" s="0" t="s">
        <v>2404</v>
      </c>
      <c r="L558" s="0" t="s">
        <v>32</v>
      </c>
      <c r="M558" s="0" t="s">
        <v>33</v>
      </c>
      <c r="N558" s="0" t="s">
        <v>205</v>
      </c>
      <c r="O558" s="0" t="s">
        <v>35</v>
      </c>
      <c r="P558" s="0" t="s">
        <v>2060</v>
      </c>
      <c r="Q558" s="0" t="s">
        <v>2405</v>
      </c>
      <c r="R558" s="0" t="s">
        <v>2402</v>
      </c>
      <c r="S558" s="0" t="s">
        <v>205</v>
      </c>
      <c r="T558" s="0">
        <f>HYPERLINK("https://storage.sslt.ae/ItemVariation/08DCF9B0-0AF9-4A8A-8813-E61EEEBCFDFE/2A6CE1EC-EBAC-4190-9AEC-7DEDADFA821B.jpg","Variant Image")</f>
      </c>
      <c r="U558" s="0">
        <f>HYPERLINK("https://ec-qa-storage.kldlms.com/Item/08DCF9B0-0AF9-4A8A-8813-E61EEEBCFDFE/1EDB3CF8-61F9-49D2-AA8C-CAC582859782.jpg","Thumbnail Image")</f>
      </c>
      <c r="V558" s="0">
        <f>HYPERLINK("https://ec-qa-storage.kldlms.com/ItemGallery/08DCF9B0-0AF9-4A8A-8813-E61EEEBCFDFE/C142A9CA-9513-45AF-8799-1A3E0CD6C2DE.jpg","Gallery Image ")</f>
      </c>
      <c r="W558" s="0" t="s">
        <v>22</v>
      </c>
      <c r="X558" s="0" t="s">
        <v>2406</v>
      </c>
    </row>
    <row r="559">
      <c r="A559" s="0" t="s">
        <v>2395</v>
      </c>
      <c r="B559" s="0" t="s">
        <v>2395</v>
      </c>
      <c r="C559" s="0" t="s">
        <v>2407</v>
      </c>
      <c r="D559" s="0" t="s">
        <v>27</v>
      </c>
      <c r="E559" s="0" t="s">
        <v>2397</v>
      </c>
      <c r="F559" s="0" t="s">
        <v>80</v>
      </c>
      <c r="G559" s="0" t="s">
        <v>2395</v>
      </c>
      <c r="H559" s="0" t="s">
        <v>2395</v>
      </c>
      <c r="I559" s="0" t="s">
        <v>2408</v>
      </c>
      <c r="J559" s="0" t="s">
        <v>2408</v>
      </c>
      <c r="K559" s="0" t="s">
        <v>880</v>
      </c>
      <c r="L559" s="0" t="s">
        <v>32</v>
      </c>
      <c r="M559" s="0" t="s">
        <v>33</v>
      </c>
      <c r="N559" s="0" t="s">
        <v>142</v>
      </c>
      <c r="O559" s="0" t="s">
        <v>35</v>
      </c>
      <c r="P559" s="0" t="s">
        <v>327</v>
      </c>
      <c r="Q559" s="0" t="s">
        <v>2409</v>
      </c>
      <c r="R559" s="0" t="s">
        <v>2407</v>
      </c>
      <c r="S559" s="0" t="s">
        <v>142</v>
      </c>
      <c r="T559" s="0">
        <f>HYPERLINK("https://storage.sslt.ae/ItemVariation/08DCF9B0-0B07-4EB0-8DC8-53200FD5FD1D/30E11B1F-1363-46C7-B688-A2AEAF09FC01.jpg","Variant Image")</f>
      </c>
      <c r="U559" s="0">
        <f>HYPERLINK("https://ec-qa-storage.kldlms.com/Item/08DCF9B0-0B07-4EB0-8DC8-53200FD5FD1D/0F2C46BD-D92C-45E3-81F3-C6673C189EF1.jpg","Thumbnail Image")</f>
      </c>
      <c r="V559" s="0">
        <f>HYPERLINK("https://ec-qa-storage.kldlms.com/ItemGallery/08DCF9B0-0B07-4EB0-8DC8-53200FD5FD1D/2B6D5902-D3E9-4C14-A4B1-7F51B81EEABB.jpg","Gallery Image ")</f>
      </c>
      <c r="W559" s="0" t="s">
        <v>22</v>
      </c>
      <c r="X559" s="0" t="s">
        <v>2410</v>
      </c>
    </row>
    <row r="560">
      <c r="A560" s="0" t="s">
        <v>1249</v>
      </c>
      <c r="B560" s="0" t="s">
        <v>1249</v>
      </c>
      <c r="C560" s="0" t="s">
        <v>2411</v>
      </c>
      <c r="D560" s="0" t="s">
        <v>27</v>
      </c>
      <c r="E560" s="0" t="s">
        <v>2412</v>
      </c>
      <c r="F560" s="0" t="s">
        <v>2413</v>
      </c>
      <c r="G560" s="0" t="s">
        <v>1249</v>
      </c>
      <c r="H560" s="0" t="s">
        <v>1249</v>
      </c>
      <c r="I560" s="0" t="s">
        <v>2414</v>
      </c>
      <c r="J560" s="0" t="s">
        <v>2414</v>
      </c>
      <c r="K560" s="0" t="s">
        <v>2415</v>
      </c>
      <c r="L560" s="0" t="s">
        <v>32</v>
      </c>
      <c r="M560" s="0" t="s">
        <v>33</v>
      </c>
      <c r="N560" s="0" t="s">
        <v>32</v>
      </c>
      <c r="O560" s="0" t="s">
        <v>35</v>
      </c>
      <c r="P560" s="0" t="s">
        <v>1380</v>
      </c>
      <c r="Q560" s="0" t="s">
        <v>2416</v>
      </c>
      <c r="R560" s="0" t="s">
        <v>2411</v>
      </c>
      <c r="S560" s="0" t="s">
        <v>92</v>
      </c>
      <c r="T560" s="0">
        <f>HYPERLINK("https://storage.sslt.ae/ItemVariation/08DCF9B0-0F8C-4B7B-8E87-5A30CF171BC1/0DEF9AAA-0780-4438-98B6-A5AB217B2668.jpg","Variant Image")</f>
      </c>
      <c r="U560" s="0">
        <f>HYPERLINK("https://ec-qa-storage.kldlms.com/Item/08DCF9B0-0F8C-4B7B-8E87-5A30CF171BC1/B24E49A3-C807-4068-B483-944D098B14C5.jpg","Thumbnail Image")</f>
      </c>
      <c r="V560" s="0">
        <f>HYPERLINK("https://ec-qa-storage.kldlms.com/ItemGallery/08DCF9B0-0F8C-4B7B-8E87-5A30CF171BC1/E4C76044-B997-474F-AEBA-89E92CB7D7AB.jpg","Gallery Image ")</f>
      </c>
      <c r="W560" s="0" t="s">
        <v>22</v>
      </c>
      <c r="X560" s="0" t="s">
        <v>2417</v>
      </c>
    </row>
    <row r="561">
      <c r="A561" s="0" t="s">
        <v>2418</v>
      </c>
      <c r="B561" s="0" t="s">
        <v>2418</v>
      </c>
      <c r="C561" s="0" t="s">
        <v>2419</v>
      </c>
      <c r="D561" s="0" t="s">
        <v>27</v>
      </c>
      <c r="E561" s="0" t="s">
        <v>2412</v>
      </c>
      <c r="F561" s="0" t="s">
        <v>2413</v>
      </c>
      <c r="G561" s="0" t="s">
        <v>2418</v>
      </c>
      <c r="H561" s="0" t="s">
        <v>2418</v>
      </c>
      <c r="I561" s="0" t="s">
        <v>2420</v>
      </c>
      <c r="J561" s="0" t="s">
        <v>2420</v>
      </c>
      <c r="K561" s="0" t="s">
        <v>2421</v>
      </c>
      <c r="L561" s="0" t="s">
        <v>32</v>
      </c>
      <c r="M561" s="0" t="s">
        <v>33</v>
      </c>
      <c r="N561" s="0" t="s">
        <v>32</v>
      </c>
      <c r="O561" s="0" t="s">
        <v>35</v>
      </c>
      <c r="P561" s="0" t="s">
        <v>527</v>
      </c>
      <c r="Q561" s="0" t="s">
        <v>2421</v>
      </c>
      <c r="R561" s="0" t="s">
        <v>2419</v>
      </c>
      <c r="S561" s="0" t="s">
        <v>32</v>
      </c>
      <c r="T561" s="0">
        <f>HYPERLINK("https://storage.sslt.ae/ItemVariation/08DCF9B0-0FA7-466C-8A96-FC7FCF2199A5/A3C0615C-34B2-419E-91F5-B79A6D94FAB8.jpg","Variant Image")</f>
      </c>
      <c r="U561" s="0">
        <f>HYPERLINK("https://ec-qa-storage.kldlms.com/Item/08DCF9B0-0FA7-466C-8A96-FC7FCF2199A5/F8F699B0-C747-48F0-93B7-7A44C3ED5EB7.jpg","Thumbnail Image")</f>
      </c>
      <c r="V561" s="0">
        <f>HYPERLINK("https://ec-qa-storage.kldlms.com/ItemGallery/08DCF9B0-0FA7-466C-8A96-FC7FCF2199A5/C1EBEB51-B8A4-486C-BF76-7A3531A8CC98.jpg","Gallery Image ")</f>
      </c>
      <c r="W561" s="0" t="s">
        <v>22</v>
      </c>
      <c r="X561" s="0" t="s">
        <v>2422</v>
      </c>
    </row>
    <row r="562">
      <c r="A562" s="0" t="s">
        <v>2423</v>
      </c>
      <c r="B562" s="0" t="s">
        <v>2423</v>
      </c>
      <c r="C562" s="0" t="s">
        <v>2424</v>
      </c>
      <c r="D562" s="0" t="s">
        <v>27</v>
      </c>
      <c r="E562" s="0" t="s">
        <v>2412</v>
      </c>
      <c r="F562" s="0" t="s">
        <v>2413</v>
      </c>
      <c r="G562" s="0" t="s">
        <v>2423</v>
      </c>
      <c r="H562" s="0" t="s">
        <v>2423</v>
      </c>
      <c r="I562" s="0" t="s">
        <v>2425</v>
      </c>
      <c r="J562" s="0" t="s">
        <v>2425</v>
      </c>
      <c r="K562" s="0" t="s">
        <v>2426</v>
      </c>
      <c r="L562" s="0" t="s">
        <v>32</v>
      </c>
      <c r="M562" s="0" t="s">
        <v>33</v>
      </c>
      <c r="N562" s="0" t="s">
        <v>32</v>
      </c>
      <c r="O562" s="0" t="s">
        <v>35</v>
      </c>
      <c r="P562" s="0" t="s">
        <v>527</v>
      </c>
      <c r="Q562" s="0" t="s">
        <v>2426</v>
      </c>
      <c r="R562" s="0" t="s">
        <v>2424</v>
      </c>
      <c r="S562" s="0" t="s">
        <v>32</v>
      </c>
      <c r="T562" s="0">
        <f>HYPERLINK("https://storage.sslt.ae/ItemVariation/08DCF9B0-0FBD-4E3C-84F6-E9204B1E5361/BA3812BD-C816-4F8B-9088-5C6B43B4053A.jpg","Variant Image")</f>
      </c>
      <c r="U562" s="0">
        <f>HYPERLINK("https://ec-qa-storage.kldlms.com/Item/08DCF9B0-0FBD-4E3C-84F6-E9204B1E5361/7B8AB682-2E25-4334-B0AF-9009481D34D2.jpg","Thumbnail Image")</f>
      </c>
      <c r="V562" s="0">
        <f>HYPERLINK("https://ec-qa-storage.kldlms.com/ItemGallery/08DCF9B0-0FBD-4E3C-84F6-E9204B1E5361/3738C98F-24B9-4F9F-84E7-F0F369662B8F.jpg","Gallery Image ")</f>
      </c>
      <c r="W562" s="0" t="s">
        <v>22</v>
      </c>
      <c r="X562" s="0" t="s">
        <v>2427</v>
      </c>
    </row>
    <row r="563">
      <c r="A563" s="0" t="s">
        <v>2428</v>
      </c>
      <c r="B563" s="0" t="s">
        <v>2428</v>
      </c>
      <c r="C563" s="0" t="s">
        <v>2429</v>
      </c>
      <c r="D563" s="0" t="s">
        <v>27</v>
      </c>
      <c r="E563" s="0" t="s">
        <v>2412</v>
      </c>
      <c r="F563" s="0" t="s">
        <v>2413</v>
      </c>
      <c r="G563" s="0" t="s">
        <v>2428</v>
      </c>
      <c r="H563" s="0" t="s">
        <v>2428</v>
      </c>
      <c r="I563" s="0" t="s">
        <v>2430</v>
      </c>
      <c r="J563" s="0" t="s">
        <v>2430</v>
      </c>
      <c r="K563" s="0" t="s">
        <v>2431</v>
      </c>
      <c r="L563" s="0" t="s">
        <v>32</v>
      </c>
      <c r="M563" s="0" t="s">
        <v>33</v>
      </c>
      <c r="N563" s="0" t="s">
        <v>32</v>
      </c>
      <c r="O563" s="0" t="s">
        <v>35</v>
      </c>
      <c r="P563" s="0" t="s">
        <v>527</v>
      </c>
      <c r="Q563" s="0" t="s">
        <v>2431</v>
      </c>
      <c r="R563" s="0" t="s">
        <v>2429</v>
      </c>
      <c r="S563" s="0" t="s">
        <v>32</v>
      </c>
      <c r="T563" s="0">
        <f>HYPERLINK("https://storage.sslt.ae/ItemVariation/08DCF9B0-0FDB-4CB0-83C8-E402DC2E946A/D4A3259A-867A-4E24-A1A4-E18C2B8FFB0F.jpg","Variant Image")</f>
      </c>
      <c r="U563" s="0">
        <f>HYPERLINK("https://ec-qa-storage.kldlms.com/Item/08DCF9B0-0FDB-4CB0-83C8-E402DC2E946A/DCE9F846-BF7F-489F-956C-76FDA2E450F0.jpg","Thumbnail Image")</f>
      </c>
      <c r="V563" s="0">
        <f>HYPERLINK("https://ec-qa-storage.kldlms.com/ItemGallery/08DCF9B0-0FDB-4CB0-83C8-E402DC2E946A/0F7563C1-8344-47BC-8F40-26B9A969D520.jpg","Gallery Image ")</f>
      </c>
      <c r="W563" s="0" t="s">
        <v>22</v>
      </c>
      <c r="X563" s="0" t="s">
        <v>2432</v>
      </c>
    </row>
    <row r="564">
      <c r="A564" s="0" t="s">
        <v>2433</v>
      </c>
      <c r="B564" s="0" t="s">
        <v>2433</v>
      </c>
      <c r="C564" s="0" t="s">
        <v>2434</v>
      </c>
      <c r="D564" s="0" t="s">
        <v>27</v>
      </c>
      <c r="E564" s="0" t="s">
        <v>2412</v>
      </c>
      <c r="F564" s="0" t="s">
        <v>2413</v>
      </c>
      <c r="G564" s="0" t="s">
        <v>2433</v>
      </c>
      <c r="H564" s="0" t="s">
        <v>2433</v>
      </c>
      <c r="I564" s="0" t="s">
        <v>2435</v>
      </c>
      <c r="J564" s="0" t="s">
        <v>2435</v>
      </c>
      <c r="K564" s="0" t="s">
        <v>2436</v>
      </c>
      <c r="L564" s="0" t="s">
        <v>32</v>
      </c>
      <c r="M564" s="0" t="s">
        <v>33</v>
      </c>
      <c r="N564" s="0" t="s">
        <v>32</v>
      </c>
      <c r="O564" s="0" t="s">
        <v>35</v>
      </c>
      <c r="P564" s="0" t="s">
        <v>527</v>
      </c>
      <c r="Q564" s="0" t="s">
        <v>2436</v>
      </c>
      <c r="R564" s="0" t="s">
        <v>2434</v>
      </c>
      <c r="S564" s="0" t="s">
        <v>32</v>
      </c>
      <c r="T564" s="0">
        <f>HYPERLINK("https://storage.sslt.ae/ItemVariation/08DCF9B0-0FF2-4F24-892E-568088B38AFD/9003B4D8-2154-4731-A84D-CF4037C2885A.jpg","Variant Image")</f>
      </c>
      <c r="U564" s="0">
        <f>HYPERLINK("https://ec-qa-storage.kldlms.com/Item/08DCF9B0-0FF2-4F24-892E-568088B38AFD/31FD27F8-B698-4BCB-9921-98808FB3FA2F.jpg","Thumbnail Image")</f>
      </c>
      <c r="V564" s="0">
        <f>HYPERLINK("https://ec-qa-storage.kldlms.com/ItemGallery/08DCF9B0-0FF2-4F24-892E-568088B38AFD/EF5E09E3-4BA5-4DCC-97BE-A6B0A5FC287D.jpg","Gallery Image ")</f>
      </c>
      <c r="W564" s="0" t="s">
        <v>22</v>
      </c>
      <c r="X564" s="0" t="s">
        <v>2437</v>
      </c>
    </row>
    <row r="565">
      <c r="A565" s="0" t="s">
        <v>2438</v>
      </c>
      <c r="B565" s="0" t="s">
        <v>2438</v>
      </c>
      <c r="C565" s="0" t="s">
        <v>2439</v>
      </c>
      <c r="D565" s="0" t="s">
        <v>27</v>
      </c>
      <c r="E565" s="0" t="s">
        <v>2412</v>
      </c>
      <c r="F565" s="0" t="s">
        <v>2413</v>
      </c>
      <c r="G565" s="0" t="s">
        <v>2438</v>
      </c>
      <c r="H565" s="0" t="s">
        <v>2438</v>
      </c>
      <c r="I565" s="0" t="s">
        <v>2440</v>
      </c>
      <c r="J565" s="0" t="s">
        <v>2440</v>
      </c>
      <c r="K565" s="0" t="s">
        <v>2441</v>
      </c>
      <c r="L565" s="0" t="s">
        <v>32</v>
      </c>
      <c r="M565" s="0" t="s">
        <v>33</v>
      </c>
      <c r="N565" s="0" t="s">
        <v>32</v>
      </c>
      <c r="O565" s="0" t="s">
        <v>35</v>
      </c>
      <c r="P565" s="0" t="s">
        <v>527</v>
      </c>
      <c r="Q565" s="0" t="s">
        <v>2441</v>
      </c>
      <c r="R565" s="0" t="s">
        <v>2439</v>
      </c>
      <c r="S565" s="0" t="s">
        <v>32</v>
      </c>
      <c r="T565" s="0">
        <f>HYPERLINK("https://storage.sslt.ae/ItemVariation/08DCF9B0-1009-4957-8763-37CC7B11CA31/95A6937D-5EEB-4D7E-AD65-A694A2892BD1.jpg","Variant Image")</f>
      </c>
      <c r="U565" s="0">
        <f>HYPERLINK("https://ec-qa-storage.kldlms.com/Item/08DCF9B0-1009-4957-8763-37CC7B11CA31/87203F55-ED88-408D-9DBD-0BD5A8B208BA.jpg","Thumbnail Image")</f>
      </c>
      <c r="V565" s="0">
        <f>HYPERLINK("https://ec-qa-storage.kldlms.com/ItemGallery/08DCF9B0-1009-4957-8763-37CC7B11CA31/8F4CB96F-AD44-4BA9-A0BD-CD18C9814397.jpg","Gallery Image ")</f>
      </c>
      <c r="W565" s="0" t="s">
        <v>22</v>
      </c>
      <c r="X565" s="0" t="s">
        <v>2442</v>
      </c>
    </row>
    <row r="566">
      <c r="A566" s="0" t="s">
        <v>2438</v>
      </c>
      <c r="B566" s="0" t="s">
        <v>2438</v>
      </c>
      <c r="C566" s="0" t="s">
        <v>2443</v>
      </c>
      <c r="D566" s="0" t="s">
        <v>27</v>
      </c>
      <c r="E566" s="0" t="s">
        <v>2412</v>
      </c>
      <c r="F566" s="0" t="s">
        <v>2413</v>
      </c>
      <c r="G566" s="0" t="s">
        <v>2438</v>
      </c>
      <c r="H566" s="0" t="s">
        <v>2438</v>
      </c>
      <c r="I566" s="0" t="s">
        <v>2444</v>
      </c>
      <c r="J566" s="0" t="s">
        <v>2444</v>
      </c>
      <c r="K566" s="0" t="s">
        <v>2445</v>
      </c>
      <c r="L566" s="0" t="s">
        <v>32</v>
      </c>
      <c r="M566" s="0" t="s">
        <v>33</v>
      </c>
      <c r="N566" s="0" t="s">
        <v>32</v>
      </c>
      <c r="O566" s="0" t="s">
        <v>35</v>
      </c>
      <c r="P566" s="0" t="s">
        <v>590</v>
      </c>
      <c r="Q566" s="0" t="s">
        <v>2445</v>
      </c>
      <c r="R566" s="0" t="s">
        <v>2443</v>
      </c>
      <c r="S566" s="0" t="s">
        <v>32</v>
      </c>
      <c r="T566" s="0">
        <f>HYPERLINK("https://storage.sslt.ae/ItemVariation/08DCF9B0-1013-4532-8BCA-129C0F373DCC/AEDF7BEB-A0D4-4031-94AD-4EA5E934BB07.jpg","Variant Image")</f>
      </c>
      <c r="U566" s="0">
        <f>HYPERLINK("https://ec-qa-storage.kldlms.com/Item/08DCF9B0-1013-4532-8BCA-129C0F373DCC/8741ABA4-5130-443F-A7D0-31EB736E4CC2.jpg","Thumbnail Image")</f>
      </c>
      <c r="V566" s="0">
        <f>HYPERLINK("https://ec-qa-storage.kldlms.com/ItemGallery/08DCF9B0-1013-4532-8BCA-129C0F373DCC/31A4BB2D-ABEA-43B0-AF59-B927527AB70A.jpg","Gallery Image ")</f>
      </c>
      <c r="W566" s="0" t="s">
        <v>22</v>
      </c>
      <c r="X566" s="0" t="s">
        <v>2446</v>
      </c>
    </row>
    <row r="567">
      <c r="A567" s="0" t="s">
        <v>2438</v>
      </c>
      <c r="B567" s="0" t="s">
        <v>2438</v>
      </c>
      <c r="C567" s="0" t="s">
        <v>2447</v>
      </c>
      <c r="D567" s="0" t="s">
        <v>27</v>
      </c>
      <c r="E567" s="0" t="s">
        <v>2412</v>
      </c>
      <c r="F567" s="0" t="s">
        <v>2413</v>
      </c>
      <c r="G567" s="0" t="s">
        <v>2438</v>
      </c>
      <c r="H567" s="0" t="s">
        <v>2438</v>
      </c>
      <c r="I567" s="0" t="s">
        <v>2448</v>
      </c>
      <c r="J567" s="0" t="s">
        <v>2448</v>
      </c>
      <c r="K567" s="0" t="s">
        <v>2449</v>
      </c>
      <c r="L567" s="0" t="s">
        <v>32</v>
      </c>
      <c r="M567" s="0" t="s">
        <v>33</v>
      </c>
      <c r="N567" s="0" t="s">
        <v>32</v>
      </c>
      <c r="O567" s="0" t="s">
        <v>35</v>
      </c>
      <c r="P567" s="0" t="s">
        <v>1380</v>
      </c>
      <c r="Q567" s="0" t="s">
        <v>2449</v>
      </c>
      <c r="R567" s="0" t="s">
        <v>2447</v>
      </c>
      <c r="S567" s="0" t="s">
        <v>32</v>
      </c>
      <c r="T567" s="0">
        <f>HYPERLINK("https://storage.sslt.ae/ItemVariation/08DCF9B0-1029-48BD-87A4-8EA9A9466F1F/B305016D-81F1-48A1-A0CC-5AEB1B5B9DD2.jpg","Variant Image")</f>
      </c>
      <c r="U567" s="0">
        <f>HYPERLINK("https://ec-qa-storage.kldlms.com/Item/08DCF9B0-1029-48BD-87A4-8EA9A9466F1F/6F52E927-F7A0-4DC4-A3F4-C36903EE30A4.jpg","Thumbnail Image")</f>
      </c>
      <c r="V567" s="0">
        <f>HYPERLINK("https://ec-qa-storage.kldlms.com/ItemGallery/08DCF9B0-1029-48BD-87A4-8EA9A9466F1F/02128F97-8DAD-4ADD-A8BC-1624D58DC06C.jpg","Gallery Image ")</f>
      </c>
      <c r="W567" s="0" t="s">
        <v>22</v>
      </c>
      <c r="X567" s="0" t="s">
        <v>2450</v>
      </c>
    </row>
    <row r="568">
      <c r="A568" s="0" t="s">
        <v>2451</v>
      </c>
      <c r="B568" s="0" t="s">
        <v>2451</v>
      </c>
      <c r="C568" s="0" t="s">
        <v>2452</v>
      </c>
      <c r="D568" s="0" t="s">
        <v>27</v>
      </c>
      <c r="E568" s="0" t="s">
        <v>2453</v>
      </c>
      <c r="F568" s="0" t="s">
        <v>2413</v>
      </c>
      <c r="G568" s="0" t="s">
        <v>2451</v>
      </c>
      <c r="H568" s="0" t="s">
        <v>2451</v>
      </c>
      <c r="I568" s="0" t="s">
        <v>2454</v>
      </c>
      <c r="J568" s="0" t="s">
        <v>2454</v>
      </c>
      <c r="K568" s="0" t="s">
        <v>2455</v>
      </c>
      <c r="L568" s="0" t="s">
        <v>32</v>
      </c>
      <c r="M568" s="0" t="s">
        <v>33</v>
      </c>
      <c r="N568" s="0" t="s">
        <v>32</v>
      </c>
      <c r="O568" s="0" t="s">
        <v>35</v>
      </c>
      <c r="P568" s="0" t="s">
        <v>527</v>
      </c>
      <c r="Q568" s="0" t="s">
        <v>2455</v>
      </c>
      <c r="R568" s="0" t="s">
        <v>2452</v>
      </c>
      <c r="S568" s="0" t="s">
        <v>32</v>
      </c>
      <c r="T568" s="0">
        <f>HYPERLINK("https://storage.sslt.ae/ItemVariation/08DCF9B0-130F-405C-80A8-EF2439BE2381/82436A28-A160-4D58-93FE-99CE80805271.jpg","Variant Image")</f>
      </c>
      <c r="U568" s="0">
        <f>HYPERLINK("https://ec-qa-storage.kldlms.com/Item/08DCF9B0-130F-405C-80A8-EF2439BE2381/FFBF0DCA-EFB1-4DD7-A442-5EA17126159F.jpg","Thumbnail Image")</f>
      </c>
      <c r="V568" s="0">
        <f>HYPERLINK("https://ec-qa-storage.kldlms.com/ItemGallery/08DCF9B0-130F-405C-80A8-EF2439BE2381/E0189743-5927-4005-8D53-38EA51108FCF.jpg","Gallery Image ")</f>
      </c>
      <c r="W568" s="0" t="s">
        <v>22</v>
      </c>
      <c r="X568" s="0" t="s">
        <v>2456</v>
      </c>
    </row>
    <row r="569">
      <c r="A569" s="0" t="s">
        <v>2457</v>
      </c>
      <c r="B569" s="0" t="s">
        <v>2457</v>
      </c>
      <c r="C569" s="0" t="s">
        <v>2458</v>
      </c>
      <c r="D569" s="0" t="s">
        <v>27</v>
      </c>
      <c r="E569" s="0" t="s">
        <v>2453</v>
      </c>
      <c r="F569" s="0" t="s">
        <v>2413</v>
      </c>
      <c r="G569" s="0" t="s">
        <v>2457</v>
      </c>
      <c r="H569" s="0" t="s">
        <v>2457</v>
      </c>
      <c r="I569" s="0" t="s">
        <v>2459</v>
      </c>
      <c r="J569" s="0" t="s">
        <v>2459</v>
      </c>
      <c r="K569" s="0" t="s">
        <v>2460</v>
      </c>
      <c r="L569" s="0" t="s">
        <v>32</v>
      </c>
      <c r="M569" s="0" t="s">
        <v>33</v>
      </c>
      <c r="N569" s="0" t="s">
        <v>32</v>
      </c>
      <c r="O569" s="0" t="s">
        <v>35</v>
      </c>
      <c r="P569" s="0" t="s">
        <v>527</v>
      </c>
      <c r="Q569" s="0" t="s">
        <v>2460</v>
      </c>
      <c r="R569" s="0" t="s">
        <v>2458</v>
      </c>
      <c r="S569" s="0" t="s">
        <v>32</v>
      </c>
      <c r="T569" s="0">
        <f>HYPERLINK("https://storage.sslt.ae/ItemVariation/08DCF9B0-134D-447E-8595-CCAD797F5A40/5E98B0BD-CFD4-4895-B2F2-4A53F3D9A1A0.jpg","Variant Image")</f>
      </c>
      <c r="U569" s="0">
        <f>HYPERLINK("https://ec-qa-storage.kldlms.com/Item/08DCF9B0-134D-447E-8595-CCAD797F5A40/D2CADCFA-2483-4287-8FA6-A4E7A2EE981F.jpg","Thumbnail Image")</f>
      </c>
      <c r="V569" s="0">
        <f>HYPERLINK("https://ec-qa-storage.kldlms.com/ItemGallery/08DCF9B0-134D-447E-8595-CCAD797F5A40/3116A51C-9096-4655-8F33-19D2B77507A3.jpg","Gallery Image ")</f>
      </c>
      <c r="W569" s="0" t="s">
        <v>22</v>
      </c>
      <c r="X569" s="0" t="s">
        <v>2461</v>
      </c>
    </row>
    <row r="570">
      <c r="A570" s="0" t="s">
        <v>2462</v>
      </c>
      <c r="B570" s="0" t="s">
        <v>2462</v>
      </c>
      <c r="C570" s="0" t="s">
        <v>2463</v>
      </c>
      <c r="D570" s="0" t="s">
        <v>27</v>
      </c>
      <c r="E570" s="0" t="s">
        <v>2453</v>
      </c>
      <c r="F570" s="0" t="s">
        <v>2413</v>
      </c>
      <c r="G570" s="0" t="s">
        <v>2462</v>
      </c>
      <c r="H570" s="0" t="s">
        <v>2462</v>
      </c>
      <c r="I570" s="0" t="s">
        <v>2464</v>
      </c>
      <c r="J570" s="0" t="s">
        <v>2464</v>
      </c>
      <c r="K570" s="0" t="s">
        <v>2465</v>
      </c>
      <c r="L570" s="0" t="s">
        <v>32</v>
      </c>
      <c r="M570" s="0" t="s">
        <v>33</v>
      </c>
      <c r="N570" s="0" t="s">
        <v>32</v>
      </c>
      <c r="O570" s="0" t="s">
        <v>35</v>
      </c>
      <c r="P570" s="0" t="s">
        <v>996</v>
      </c>
      <c r="Q570" s="0" t="s">
        <v>2465</v>
      </c>
      <c r="R570" s="0" t="s">
        <v>2463</v>
      </c>
      <c r="S570" s="0" t="s">
        <v>32</v>
      </c>
      <c r="T570" s="0">
        <f>HYPERLINK("https://storage.sslt.ae/ItemVariation/08DCF9B0-1363-4FFA-83AE-C4B71044ADC1/E918DF95-3F1E-47F4-AAE7-EDBABA76B7EF.jpg","Variant Image")</f>
      </c>
      <c r="U570" s="0">
        <f>HYPERLINK("https://ec-qa-storage.kldlms.com/Item/08DCF9B0-1363-4FFA-83AE-C4B71044ADC1/3EDD767A-5169-4EA7-BBAF-65C7155E3F88.jpg","Thumbnail Image")</f>
      </c>
      <c r="V570" s="0">
        <f>HYPERLINK("https://ec-qa-storage.kldlms.com/ItemGallery/08DCF9B0-1363-4FFA-83AE-C4B71044ADC1/772DDD7A-466A-4FB1-BAE6-4B249D160C9E.jpg","Gallery Image ")</f>
      </c>
      <c r="W570" s="0" t="s">
        <v>22</v>
      </c>
      <c r="X570" s="0" t="s">
        <v>2466</v>
      </c>
    </row>
    <row r="571">
      <c r="A571" s="0" t="s">
        <v>2467</v>
      </c>
      <c r="B571" s="0" t="s">
        <v>2467</v>
      </c>
      <c r="C571" s="0" t="s">
        <v>2468</v>
      </c>
      <c r="D571" s="0" t="s">
        <v>27</v>
      </c>
      <c r="E571" s="0" t="s">
        <v>2453</v>
      </c>
      <c r="F571" s="0" t="s">
        <v>2413</v>
      </c>
      <c r="G571" s="0" t="s">
        <v>2467</v>
      </c>
      <c r="H571" s="0" t="s">
        <v>2467</v>
      </c>
      <c r="I571" s="0" t="s">
        <v>2469</v>
      </c>
      <c r="J571" s="0" t="s">
        <v>2469</v>
      </c>
      <c r="K571" s="0" t="s">
        <v>2470</v>
      </c>
      <c r="L571" s="0" t="s">
        <v>32</v>
      </c>
      <c r="M571" s="0" t="s">
        <v>33</v>
      </c>
      <c r="N571" s="0" t="s">
        <v>32</v>
      </c>
      <c r="O571" s="0" t="s">
        <v>35</v>
      </c>
      <c r="P571" s="0" t="s">
        <v>527</v>
      </c>
      <c r="Q571" s="0" t="s">
        <v>2470</v>
      </c>
      <c r="R571" s="0" t="s">
        <v>2468</v>
      </c>
      <c r="S571" s="0" t="s">
        <v>32</v>
      </c>
      <c r="T571" s="0">
        <f>HYPERLINK("https://storage.sslt.ae/ItemVariation/08DCF9B0-137C-4A3B-89D6-DFF9A756033E/9BBDF42E-983C-4EB8-93AF-5FF2582BF1AF.jpg","Variant Image")</f>
      </c>
      <c r="U571" s="0">
        <f>HYPERLINK("https://ec-qa-storage.kldlms.com/Item/08DCF9B0-137C-4A3B-89D6-DFF9A756033E/AC5E376B-2E94-450B-A355-2156D05D4445.jpg","Thumbnail Image")</f>
      </c>
      <c r="V571" s="0">
        <f>HYPERLINK("https://ec-qa-storage.kldlms.com/ItemGallery/08DCF9B0-137C-4A3B-89D6-DFF9A756033E/113175B6-2CE0-429A-A24A-FEA1AA3F7698.jpg","Gallery Image ")</f>
      </c>
      <c r="W571" s="0" t="s">
        <v>22</v>
      </c>
      <c r="X571" s="0" t="s">
        <v>2471</v>
      </c>
    </row>
    <row r="572">
      <c r="A572" s="0" t="s">
        <v>2472</v>
      </c>
      <c r="B572" s="0" t="s">
        <v>2472</v>
      </c>
      <c r="C572" s="0" t="s">
        <v>2473</v>
      </c>
      <c r="D572" s="0" t="s">
        <v>27</v>
      </c>
      <c r="E572" s="0" t="s">
        <v>2453</v>
      </c>
      <c r="F572" s="0" t="s">
        <v>2413</v>
      </c>
      <c r="G572" s="0" t="s">
        <v>2472</v>
      </c>
      <c r="H572" s="0" t="s">
        <v>2472</v>
      </c>
      <c r="I572" s="0" t="s">
        <v>2469</v>
      </c>
      <c r="J572" s="0" t="s">
        <v>2469</v>
      </c>
      <c r="K572" s="0" t="s">
        <v>2474</v>
      </c>
      <c r="L572" s="0" t="s">
        <v>32</v>
      </c>
      <c r="M572" s="0" t="s">
        <v>33</v>
      </c>
      <c r="N572" s="0" t="s">
        <v>32</v>
      </c>
      <c r="O572" s="0" t="s">
        <v>35</v>
      </c>
      <c r="P572" s="0" t="s">
        <v>527</v>
      </c>
      <c r="Q572" s="0" t="s">
        <v>2474</v>
      </c>
      <c r="R572" s="0" t="s">
        <v>2473</v>
      </c>
      <c r="S572" s="0" t="s">
        <v>32</v>
      </c>
      <c r="T572" s="0">
        <f>HYPERLINK("https://storage.sslt.ae/ItemVariation/08DCF9B0-13AF-40CF-8B6C-4CA7565F6006/DC682957-B1E8-4D46-9A5D-22D352B05A9F.jpg","Variant Image")</f>
      </c>
      <c r="U572" s="0">
        <f>HYPERLINK("https://ec-qa-storage.kldlms.com/Item/08DCF9B0-13AF-40CF-8B6C-4CA7565F6006/19BC030C-43D7-4AF7-94F7-A62829090B3E.jpg","Thumbnail Image")</f>
      </c>
      <c r="V572" s="0">
        <f>HYPERLINK("https://ec-qa-storage.kldlms.com/ItemGallery/08DCF9B0-13AF-40CF-8B6C-4CA7565F6006/63DB1D88-CBC7-408E-87F2-E7ED2AB3E3B8.jpg","Gallery Image ")</f>
      </c>
      <c r="W572" s="0" t="s">
        <v>22</v>
      </c>
      <c r="X572" s="0" t="s">
        <v>2475</v>
      </c>
    </row>
    <row r="573">
      <c r="A573" s="0" t="s">
        <v>2476</v>
      </c>
      <c r="B573" s="0" t="s">
        <v>2476</v>
      </c>
      <c r="C573" s="0" t="s">
        <v>2477</v>
      </c>
      <c r="D573" s="0" t="s">
        <v>27</v>
      </c>
      <c r="E573" s="0" t="s">
        <v>2453</v>
      </c>
      <c r="F573" s="0" t="s">
        <v>2413</v>
      </c>
      <c r="G573" s="0" t="s">
        <v>2476</v>
      </c>
      <c r="H573" s="0" t="s">
        <v>2476</v>
      </c>
      <c r="I573" s="0" t="s">
        <v>2478</v>
      </c>
      <c r="J573" s="0" t="s">
        <v>2478</v>
      </c>
      <c r="K573" s="0" t="s">
        <v>2479</v>
      </c>
      <c r="L573" s="0" t="s">
        <v>32</v>
      </c>
      <c r="M573" s="0" t="s">
        <v>33</v>
      </c>
      <c r="N573" s="0" t="s">
        <v>32</v>
      </c>
      <c r="O573" s="0" t="s">
        <v>35</v>
      </c>
      <c r="P573" s="0" t="s">
        <v>1380</v>
      </c>
      <c r="Q573" s="0" t="s">
        <v>2479</v>
      </c>
      <c r="R573" s="0" t="s">
        <v>2477</v>
      </c>
      <c r="S573" s="0" t="s">
        <v>32</v>
      </c>
      <c r="T573" s="0">
        <f>HYPERLINK("https://storage.sslt.ae/ItemVariation/08DCF9B0-13C6-4231-8B9A-824DC60B0CED/69BC2262-ED49-4FEA-BE45-533A1941D510.jpg","Variant Image")</f>
      </c>
      <c r="U573" s="0">
        <f>HYPERLINK("https://ec-qa-storage.kldlms.com/Item/08DCF9B0-13C6-4231-8B9A-824DC60B0CED/F3B34E1B-D4ED-435A-8716-F3DB540027D5.jpg","Thumbnail Image")</f>
      </c>
      <c r="V573" s="0">
        <f>HYPERLINK("https://ec-qa-storage.kldlms.com/ItemGallery/08DCF9B0-13C6-4231-8B9A-824DC60B0CED/8018F33F-57D7-45E7-A596-76A340ABCD21.jpg","Gallery Image ")</f>
      </c>
      <c r="W573" s="0" t="s">
        <v>22</v>
      </c>
      <c r="X573" s="0" t="s">
        <v>2480</v>
      </c>
    </row>
    <row r="574">
      <c r="A574" s="0" t="s">
        <v>2481</v>
      </c>
      <c r="B574" s="0" t="s">
        <v>2481</v>
      </c>
      <c r="C574" s="0" t="s">
        <v>2482</v>
      </c>
      <c r="D574" s="0" t="s">
        <v>27</v>
      </c>
      <c r="E574" s="0" t="s">
        <v>2453</v>
      </c>
      <c r="F574" s="0" t="s">
        <v>2413</v>
      </c>
      <c r="G574" s="0" t="s">
        <v>2481</v>
      </c>
      <c r="H574" s="0" t="s">
        <v>2481</v>
      </c>
      <c r="I574" s="0" t="s">
        <v>2483</v>
      </c>
      <c r="J574" s="0" t="s">
        <v>2483</v>
      </c>
      <c r="K574" s="0" t="s">
        <v>2484</v>
      </c>
      <c r="L574" s="0" t="s">
        <v>32</v>
      </c>
      <c r="M574" s="0" t="s">
        <v>33</v>
      </c>
      <c r="N574" s="0" t="s">
        <v>32</v>
      </c>
      <c r="O574" s="0" t="s">
        <v>35</v>
      </c>
      <c r="P574" s="0" t="s">
        <v>1380</v>
      </c>
      <c r="Q574" s="0" t="s">
        <v>2484</v>
      </c>
      <c r="R574" s="0" t="s">
        <v>2482</v>
      </c>
      <c r="S574" s="0" t="s">
        <v>32</v>
      </c>
      <c r="T574" s="0">
        <f>HYPERLINK("https://storage.sslt.ae/ItemVariation/08DCF9B0-13D0-4811-8931-E4FB45C86D63/968A26A4-A6F1-4428-95C4-119C962D7334.jpg","Variant Image")</f>
      </c>
      <c r="U574" s="0">
        <f>HYPERLINK("https://ec-qa-storage.kldlms.com/Item/08DCF9B0-13D0-4811-8931-E4FB45C86D63/62BE6011-C363-49B0-AD31-3124BF0CD106.jpg","Thumbnail Image")</f>
      </c>
      <c r="V574" s="0">
        <f>HYPERLINK("https://ec-qa-storage.kldlms.com/ItemGallery/08DCF9B0-13D0-4811-8931-E4FB45C86D63/C86D5240-39C6-4A08-AC8F-0F7A5FBFACBA.jpg","Gallery Image ")</f>
      </c>
      <c r="W574" s="0" t="s">
        <v>22</v>
      </c>
      <c r="X574" s="0" t="s">
        <v>2485</v>
      </c>
    </row>
    <row r="575">
      <c r="A575" s="0" t="s">
        <v>2486</v>
      </c>
      <c r="B575" s="0" t="s">
        <v>2486</v>
      </c>
      <c r="C575" s="0" t="s">
        <v>2487</v>
      </c>
      <c r="D575" s="0" t="s">
        <v>27</v>
      </c>
      <c r="E575" s="0" t="s">
        <v>2453</v>
      </c>
      <c r="F575" s="0" t="s">
        <v>2413</v>
      </c>
      <c r="G575" s="0" t="s">
        <v>2486</v>
      </c>
      <c r="H575" s="0" t="s">
        <v>2486</v>
      </c>
      <c r="I575" s="0" t="s">
        <v>2488</v>
      </c>
      <c r="J575" s="0" t="s">
        <v>2488</v>
      </c>
      <c r="K575" s="0" t="s">
        <v>2489</v>
      </c>
      <c r="L575" s="0" t="s">
        <v>32</v>
      </c>
      <c r="M575" s="0" t="s">
        <v>33</v>
      </c>
      <c r="N575" s="0" t="s">
        <v>32</v>
      </c>
      <c r="O575" s="0" t="s">
        <v>35</v>
      </c>
      <c r="P575" s="0" t="s">
        <v>1323</v>
      </c>
      <c r="Q575" s="0" t="s">
        <v>2489</v>
      </c>
      <c r="R575" s="0" t="s">
        <v>2487</v>
      </c>
      <c r="S575" s="0" t="s">
        <v>32</v>
      </c>
      <c r="T575" s="0">
        <f>HYPERLINK("https://storage.sslt.ae/ItemVariation/08DCF9B0-13E6-4A64-81C5-1F9A49EBCFD4/DEAD9F0E-4B7C-4B67-AFCC-322F5BDABE81.jpg","Variant Image")</f>
      </c>
      <c r="U575" s="0">
        <f>HYPERLINK("https://ec-qa-storage.kldlms.com/Item/08DCF9B0-13E6-4A64-81C5-1F9A49EBCFD4/DDCF27AA-E3FC-44D7-8DC2-89E47B15C443.jpg","Thumbnail Image")</f>
      </c>
      <c r="V575" s="0">
        <f>HYPERLINK("https://ec-qa-storage.kldlms.com/ItemGallery/08DCF9B0-13E6-4A64-81C5-1F9A49EBCFD4/2C792038-AF09-45DA-85B5-9F52E8143813.jpg","Gallery Image ")</f>
      </c>
      <c r="W575" s="0" t="s">
        <v>22</v>
      </c>
      <c r="X575" s="0" t="s">
        <v>2490</v>
      </c>
    </row>
    <row r="576">
      <c r="A576" s="0" t="s">
        <v>2491</v>
      </c>
      <c r="B576" s="0" t="s">
        <v>2491</v>
      </c>
      <c r="C576" s="0" t="s">
        <v>2492</v>
      </c>
      <c r="D576" s="0" t="s">
        <v>27</v>
      </c>
      <c r="E576" s="0" t="s">
        <v>2453</v>
      </c>
      <c r="F576" s="0" t="s">
        <v>2413</v>
      </c>
      <c r="G576" s="0" t="s">
        <v>2491</v>
      </c>
      <c r="H576" s="0" t="s">
        <v>2491</v>
      </c>
      <c r="I576" s="0" t="s">
        <v>2493</v>
      </c>
      <c r="J576" s="0" t="s">
        <v>2493</v>
      </c>
      <c r="K576" s="0" t="s">
        <v>2494</v>
      </c>
      <c r="L576" s="0" t="s">
        <v>32</v>
      </c>
      <c r="M576" s="0" t="s">
        <v>33</v>
      </c>
      <c r="N576" s="0" t="s">
        <v>32</v>
      </c>
      <c r="O576" s="0" t="s">
        <v>35</v>
      </c>
      <c r="P576" s="0" t="s">
        <v>527</v>
      </c>
      <c r="Q576" s="0" t="s">
        <v>2494</v>
      </c>
      <c r="R576" s="0" t="s">
        <v>2492</v>
      </c>
      <c r="S576" s="0" t="s">
        <v>32</v>
      </c>
      <c r="T576" s="0">
        <f>HYPERLINK("https://storage.sslt.ae/ItemVariation/08DCF9B0-13FC-474E-805B-7C7EBC078F47/E61EEA8D-1A06-4D8F-8620-FCEFA97D367E.jpg","Variant Image")</f>
      </c>
      <c r="U576" s="0">
        <f>HYPERLINK("https://ec-qa-storage.kldlms.com/Item/08DCF9B0-13FC-474E-805B-7C7EBC078F47/39D2D3BD-C0A7-42FC-A4C9-CBFF7862A028.jpg","Thumbnail Image")</f>
      </c>
      <c r="V576" s="0">
        <f>HYPERLINK("https://ec-qa-storage.kldlms.com/ItemGallery/08DCF9B0-13FC-474E-805B-7C7EBC078F47/2AEC7106-F1BF-4C90-89F6-0C01DE41153D.jpg","Gallery Image ")</f>
      </c>
      <c r="W576" s="0" t="s">
        <v>22</v>
      </c>
      <c r="X576" s="0" t="s">
        <v>2495</v>
      </c>
    </row>
    <row r="577">
      <c r="A577" s="0" t="s">
        <v>2496</v>
      </c>
      <c r="B577" s="0" t="s">
        <v>2496</v>
      </c>
      <c r="C577" s="0" t="s">
        <v>2497</v>
      </c>
      <c r="D577" s="0" t="s">
        <v>27</v>
      </c>
      <c r="E577" s="0" t="s">
        <v>2453</v>
      </c>
      <c r="F577" s="0" t="s">
        <v>2413</v>
      </c>
      <c r="G577" s="0" t="s">
        <v>2496</v>
      </c>
      <c r="H577" s="0" t="s">
        <v>2496</v>
      </c>
      <c r="I577" s="0" t="s">
        <v>2498</v>
      </c>
      <c r="J577" s="0" t="s">
        <v>2498</v>
      </c>
      <c r="K577" s="0" t="s">
        <v>2499</v>
      </c>
      <c r="L577" s="0" t="s">
        <v>32</v>
      </c>
      <c r="M577" s="0" t="s">
        <v>33</v>
      </c>
      <c r="N577" s="0" t="s">
        <v>32</v>
      </c>
      <c r="O577" s="0" t="s">
        <v>35</v>
      </c>
      <c r="P577" s="0" t="s">
        <v>527</v>
      </c>
      <c r="Q577" s="0" t="s">
        <v>2499</v>
      </c>
      <c r="R577" s="0" t="s">
        <v>2497</v>
      </c>
      <c r="S577" s="0" t="s">
        <v>32</v>
      </c>
      <c r="T577" s="0">
        <f>HYPERLINK("https://storage.sslt.ae/ItemVariation/08DCF9B0-1413-4D63-8334-6C5C425D8820/8745C02A-C8DB-4702-8B87-A280C33083B1.jpg","Variant Image")</f>
      </c>
      <c r="U577" s="0">
        <f>HYPERLINK("https://ec-qa-storage.kldlms.com/Item/08DCF9B0-1413-4D63-8334-6C5C425D8820/B03E6B13-A216-4CB0-B63E-DF148AA8FE65.jpg","Thumbnail Image")</f>
      </c>
      <c r="V577" s="0">
        <f>HYPERLINK("https://ec-qa-storage.kldlms.com/ItemGallery/08DCF9B0-1413-4D63-8334-6C5C425D8820/51B9A40F-FEF1-425F-BC94-1F3BF7DB116B.jpg","Gallery Image ")</f>
      </c>
      <c r="W577" s="0" t="s">
        <v>22</v>
      </c>
      <c r="X577" s="0" t="s">
        <v>2500</v>
      </c>
    </row>
    <row r="578">
      <c r="A578" s="0" t="s">
        <v>2501</v>
      </c>
      <c r="B578" s="0" t="s">
        <v>2501</v>
      </c>
      <c r="C578" s="0" t="s">
        <v>2502</v>
      </c>
      <c r="D578" s="0" t="s">
        <v>27</v>
      </c>
      <c r="E578" s="0" t="s">
        <v>2453</v>
      </c>
      <c r="F578" s="0" t="s">
        <v>2413</v>
      </c>
      <c r="G578" s="0" t="s">
        <v>2501</v>
      </c>
      <c r="H578" s="0" t="s">
        <v>2501</v>
      </c>
      <c r="I578" s="0" t="s">
        <v>2503</v>
      </c>
      <c r="J578" s="0" t="s">
        <v>2503</v>
      </c>
      <c r="K578" s="0" t="s">
        <v>2504</v>
      </c>
      <c r="L578" s="0" t="s">
        <v>32</v>
      </c>
      <c r="M578" s="0" t="s">
        <v>33</v>
      </c>
      <c r="N578" s="0" t="s">
        <v>32</v>
      </c>
      <c r="O578" s="0" t="s">
        <v>35</v>
      </c>
      <c r="P578" s="0" t="s">
        <v>527</v>
      </c>
      <c r="Q578" s="0" t="s">
        <v>2504</v>
      </c>
      <c r="R578" s="0" t="s">
        <v>2502</v>
      </c>
      <c r="S578" s="0" t="s">
        <v>32</v>
      </c>
      <c r="T578" s="0">
        <f>HYPERLINK("https://storage.sslt.ae/ItemVariation/08DCF9B0-1425-4757-845E-601E416768AE/B9A0808B-7FCD-4CD9-87D3-17F1AAE4ADB8.jpg","Variant Image")</f>
      </c>
      <c r="U578" s="0">
        <f>HYPERLINK("https://ec-qa-storage.kldlms.com/Item/08DCF9B0-1425-4757-845E-601E416768AE/CEDED546-066A-4E62-9446-9DFCC0D11ECD.jpg","Thumbnail Image")</f>
      </c>
      <c r="V578" s="0">
        <f>HYPERLINK("https://ec-qa-storage.kldlms.com/ItemGallery/08DCF9B0-1425-4757-845E-601E416768AE/F0320D27-7676-4840-94BA-FA0F2FB7931A.jpg","Gallery Image ")</f>
      </c>
      <c r="W578" s="0" t="s">
        <v>22</v>
      </c>
      <c r="X578" s="0" t="s">
        <v>2505</v>
      </c>
    </row>
    <row r="579">
      <c r="A579" s="0" t="s">
        <v>2506</v>
      </c>
      <c r="B579" s="0" t="s">
        <v>2506</v>
      </c>
      <c r="C579" s="0" t="s">
        <v>2507</v>
      </c>
      <c r="D579" s="0" t="s">
        <v>27</v>
      </c>
      <c r="E579" s="0" t="s">
        <v>2453</v>
      </c>
      <c r="F579" s="0" t="s">
        <v>2413</v>
      </c>
      <c r="G579" s="0" t="s">
        <v>2506</v>
      </c>
      <c r="H579" s="0" t="s">
        <v>2506</v>
      </c>
      <c r="I579" s="0" t="s">
        <v>2508</v>
      </c>
      <c r="J579" s="0" t="s">
        <v>2508</v>
      </c>
      <c r="K579" s="0" t="s">
        <v>2509</v>
      </c>
      <c r="L579" s="0" t="s">
        <v>32</v>
      </c>
      <c r="M579" s="0" t="s">
        <v>33</v>
      </c>
      <c r="N579" s="0" t="s">
        <v>32</v>
      </c>
      <c r="O579" s="0" t="s">
        <v>35</v>
      </c>
      <c r="P579" s="0" t="s">
        <v>527</v>
      </c>
      <c r="Q579" s="0" t="s">
        <v>2509</v>
      </c>
      <c r="R579" s="0" t="s">
        <v>2507</v>
      </c>
      <c r="S579" s="0" t="s">
        <v>32</v>
      </c>
      <c r="T579" s="0">
        <f>HYPERLINK("https://storage.sslt.ae/ItemVariation/08DCF9B0-1437-456B-8E1D-DB870113F388/857FF650-00F8-4C4E-92CF-1F4473CD1D7C.jpg","Variant Image")</f>
      </c>
      <c r="U579" s="0">
        <f>HYPERLINK("https://ec-qa-storage.kldlms.com/Item/08DCF9B0-1437-456B-8E1D-DB870113F388/52A157CC-2D7B-47BD-BD95-827708DBBDE2.jpg","Thumbnail Image")</f>
      </c>
      <c r="V579" s="0">
        <f>HYPERLINK("https://ec-qa-storage.kldlms.com/ItemGallery/08DCF9B0-1437-456B-8E1D-DB870113F388/3FCA07E6-668F-4389-A440-0FA6911CFFD8.jpg","Gallery Image ")</f>
      </c>
      <c r="W579" s="0" t="s">
        <v>22</v>
      </c>
      <c r="X579" s="0" t="s">
        <v>2510</v>
      </c>
    </row>
    <row r="580">
      <c r="A580" s="0" t="s">
        <v>2511</v>
      </c>
      <c r="B580" s="0" t="s">
        <v>2511</v>
      </c>
      <c r="C580" s="0" t="s">
        <v>2512</v>
      </c>
      <c r="D580" s="0" t="s">
        <v>27</v>
      </c>
      <c r="E580" s="0" t="s">
        <v>2453</v>
      </c>
      <c r="F580" s="0" t="s">
        <v>2413</v>
      </c>
      <c r="G580" s="0" t="s">
        <v>2511</v>
      </c>
      <c r="H580" s="0" t="s">
        <v>2511</v>
      </c>
      <c r="I580" s="0" t="s">
        <v>2513</v>
      </c>
      <c r="J580" s="0" t="s">
        <v>2513</v>
      </c>
      <c r="K580" s="0" t="s">
        <v>2514</v>
      </c>
      <c r="L580" s="0" t="s">
        <v>32</v>
      </c>
      <c r="M580" s="0" t="s">
        <v>33</v>
      </c>
      <c r="N580" s="0" t="s">
        <v>32</v>
      </c>
      <c r="O580" s="0" t="s">
        <v>35</v>
      </c>
      <c r="P580" s="0" t="s">
        <v>1323</v>
      </c>
      <c r="Q580" s="0" t="s">
        <v>2514</v>
      </c>
      <c r="R580" s="0" t="s">
        <v>2512</v>
      </c>
      <c r="S580" s="0" t="s">
        <v>32</v>
      </c>
      <c r="T580" s="0">
        <f>HYPERLINK("https://storage.sslt.ae/ItemVariation/08DCF9B0-1448-4ACA-81F7-D1A75BC0DBA0/D9BC23D5-09D2-44BD-A9B4-8401885CC3B1.jpg","Variant Image")</f>
      </c>
      <c r="U580" s="0">
        <f>HYPERLINK("https://ec-qa-storage.kldlms.com/Item/08DCF9B0-1448-4ACA-81F7-D1A75BC0DBA0/73A022C2-9B2E-4F14-81F9-E74B69D227CB.jpg","Thumbnail Image")</f>
      </c>
      <c r="V580" s="0">
        <f>HYPERLINK("https://ec-qa-storage.kldlms.com/ItemGallery/08DCF9B0-1448-4ACA-81F7-D1A75BC0DBA0/0F618D66-4797-4A74-90B2-DA30ADE7BCFB.jpg","Gallery Image ")</f>
      </c>
      <c r="W580" s="0" t="s">
        <v>22</v>
      </c>
      <c r="X580" s="0" t="s">
        <v>2515</v>
      </c>
    </row>
    <row r="581">
      <c r="A581" s="0" t="s">
        <v>2516</v>
      </c>
      <c r="B581" s="0" t="s">
        <v>2516</v>
      </c>
      <c r="C581" s="0" t="s">
        <v>2517</v>
      </c>
      <c r="D581" s="0" t="s">
        <v>27</v>
      </c>
      <c r="E581" s="0" t="s">
        <v>2453</v>
      </c>
      <c r="F581" s="0" t="s">
        <v>2413</v>
      </c>
      <c r="G581" s="0" t="s">
        <v>2516</v>
      </c>
      <c r="H581" s="0" t="s">
        <v>2516</v>
      </c>
      <c r="I581" s="0" t="s">
        <v>2518</v>
      </c>
      <c r="J581" s="0" t="s">
        <v>2518</v>
      </c>
      <c r="K581" s="0" t="s">
        <v>2519</v>
      </c>
      <c r="L581" s="0" t="s">
        <v>32</v>
      </c>
      <c r="M581" s="0" t="s">
        <v>33</v>
      </c>
      <c r="N581" s="0" t="s">
        <v>32</v>
      </c>
      <c r="O581" s="0" t="s">
        <v>35</v>
      </c>
      <c r="P581" s="0" t="s">
        <v>527</v>
      </c>
      <c r="Q581" s="0" t="s">
        <v>2519</v>
      </c>
      <c r="R581" s="0" t="s">
        <v>2517</v>
      </c>
      <c r="S581" s="0" t="s">
        <v>32</v>
      </c>
      <c r="T581" s="0">
        <f>HYPERLINK("https://storage.sslt.ae/ItemVariation/08DCF9B0-1453-40F7-8CDD-F8436451C9FA/759B87E9-D01E-420C-B14C-44336D948A50.jpg","Variant Image")</f>
      </c>
      <c r="U581" s="0">
        <f>HYPERLINK("https://ec-qa-storage.kldlms.com/Item/08DCF9B0-1453-40F7-8CDD-F8436451C9FA/37CE9BE7-42B7-4CDA-9C65-94663DD4613F.jpg","Thumbnail Image")</f>
      </c>
      <c r="V581" s="0">
        <f>HYPERLINK("https://ec-qa-storage.kldlms.com/ItemGallery/08DCF9B0-1453-40F7-8CDD-F8436451C9FA/095AE830-1312-4225-876D-CCF4168B3318.jpg","Gallery Image ")</f>
      </c>
      <c r="W581" s="0" t="s">
        <v>22</v>
      </c>
      <c r="X581" s="0" t="s">
        <v>2520</v>
      </c>
    </row>
    <row r="582">
      <c r="A582" s="0" t="s">
        <v>2521</v>
      </c>
      <c r="B582" s="0" t="s">
        <v>2521</v>
      </c>
      <c r="C582" s="0" t="s">
        <v>2522</v>
      </c>
      <c r="D582" s="0" t="s">
        <v>27</v>
      </c>
      <c r="E582" s="0" t="s">
        <v>2453</v>
      </c>
      <c r="F582" s="0" t="s">
        <v>2413</v>
      </c>
      <c r="G582" s="0" t="s">
        <v>2521</v>
      </c>
      <c r="H582" s="0" t="s">
        <v>2521</v>
      </c>
      <c r="I582" s="0" t="s">
        <v>2523</v>
      </c>
      <c r="J582" s="0" t="s">
        <v>2523</v>
      </c>
      <c r="K582" s="0" t="s">
        <v>2524</v>
      </c>
      <c r="L582" s="0" t="s">
        <v>32</v>
      </c>
      <c r="M582" s="0" t="s">
        <v>33</v>
      </c>
      <c r="N582" s="0" t="s">
        <v>32</v>
      </c>
      <c r="O582" s="0" t="s">
        <v>35</v>
      </c>
      <c r="P582" s="0" t="s">
        <v>527</v>
      </c>
      <c r="Q582" s="0" t="s">
        <v>2524</v>
      </c>
      <c r="R582" s="0" t="s">
        <v>2522</v>
      </c>
      <c r="S582" s="0" t="s">
        <v>32</v>
      </c>
      <c r="T582" s="0">
        <f>HYPERLINK("https://storage.sslt.ae/ItemVariation/08DCF9B0-1469-4E6F-8785-CBFE3EC34675/CA6F6056-F559-4C40-B143-783BF880F492.jpg","Variant Image")</f>
      </c>
      <c r="U582" s="0">
        <f>HYPERLINK("https://ec-qa-storage.kldlms.com/Item/08DCF9B0-1469-4E6F-8785-CBFE3EC34675/0CCD58A7-C0B4-47F1-AFE4-5FEDC0330EBB.jpg","Thumbnail Image")</f>
      </c>
      <c r="V582" s="0">
        <f>HYPERLINK("https://ec-qa-storage.kldlms.com/ItemGallery/08DCF9B0-1469-4E6F-8785-CBFE3EC34675/5C4DCEE5-75E8-46AD-89F1-12C738604596.jpg","Gallery Image ")</f>
      </c>
      <c r="W582" s="0" t="s">
        <v>22</v>
      </c>
      <c r="X582" s="0" t="s">
        <v>2525</v>
      </c>
    </row>
    <row r="583">
      <c r="A583" s="0" t="s">
        <v>2526</v>
      </c>
      <c r="B583" s="0" t="s">
        <v>2526</v>
      </c>
      <c r="C583" s="0" t="s">
        <v>2527</v>
      </c>
      <c r="D583" s="0" t="s">
        <v>27</v>
      </c>
      <c r="E583" s="0" t="s">
        <v>2453</v>
      </c>
      <c r="F583" s="0" t="s">
        <v>2413</v>
      </c>
      <c r="G583" s="0" t="s">
        <v>2526</v>
      </c>
      <c r="H583" s="0" t="s">
        <v>2526</v>
      </c>
      <c r="I583" s="0" t="s">
        <v>2528</v>
      </c>
      <c r="J583" s="0" t="s">
        <v>2528</v>
      </c>
      <c r="K583" s="0" t="s">
        <v>2529</v>
      </c>
      <c r="L583" s="0" t="s">
        <v>32</v>
      </c>
      <c r="M583" s="0" t="s">
        <v>33</v>
      </c>
      <c r="N583" s="0" t="s">
        <v>32</v>
      </c>
      <c r="O583" s="0" t="s">
        <v>35</v>
      </c>
      <c r="P583" s="0" t="s">
        <v>1312</v>
      </c>
      <c r="Q583" s="0" t="s">
        <v>2529</v>
      </c>
      <c r="R583" s="0" t="s">
        <v>2527</v>
      </c>
      <c r="S583" s="0" t="s">
        <v>32</v>
      </c>
      <c r="T583" s="0">
        <f>HYPERLINK("https://storage.sslt.ae/ItemVariation/08DCF9B0-1487-4852-8A78-4A6DCB449382/9F0E7360-99FE-410F-B1D3-25E2FEEC787B.jpg","Variant Image")</f>
      </c>
      <c r="U583" s="0">
        <f>HYPERLINK("https://ec-qa-storage.kldlms.com/Item/08DCF9B0-1487-4852-8A78-4A6DCB449382/FD7F1AEE-8FB3-41DC-9C19-3E103A555B72.jpg","Thumbnail Image")</f>
      </c>
      <c r="V583" s="0">
        <f>HYPERLINK("https://ec-qa-storage.kldlms.com/ItemGallery/08DCF9B0-1487-4852-8A78-4A6DCB449382/199E3117-4043-4E78-BE0D-D1DC13C8DA26.jpg","Gallery Image ")</f>
      </c>
      <c r="W583" s="0" t="s">
        <v>22</v>
      </c>
      <c r="X583" s="0" t="s">
        <v>2530</v>
      </c>
    </row>
    <row r="584">
      <c r="A584" s="0" t="s">
        <v>2531</v>
      </c>
      <c r="B584" s="0" t="s">
        <v>2531</v>
      </c>
      <c r="C584" s="0" t="s">
        <v>2532</v>
      </c>
      <c r="D584" s="0" t="s">
        <v>27</v>
      </c>
      <c r="E584" s="0" t="s">
        <v>2453</v>
      </c>
      <c r="F584" s="0" t="s">
        <v>2413</v>
      </c>
      <c r="G584" s="0" t="s">
        <v>2531</v>
      </c>
      <c r="H584" s="0" t="s">
        <v>2531</v>
      </c>
      <c r="I584" s="0" t="s">
        <v>2533</v>
      </c>
      <c r="J584" s="0" t="s">
        <v>2533</v>
      </c>
      <c r="K584" s="0" t="s">
        <v>2534</v>
      </c>
      <c r="L584" s="0" t="s">
        <v>32</v>
      </c>
      <c r="M584" s="0" t="s">
        <v>33</v>
      </c>
      <c r="N584" s="0" t="s">
        <v>32</v>
      </c>
      <c r="O584" s="0" t="s">
        <v>35</v>
      </c>
      <c r="P584" s="0" t="s">
        <v>590</v>
      </c>
      <c r="Q584" s="0" t="s">
        <v>2534</v>
      </c>
      <c r="R584" s="0" t="s">
        <v>2532</v>
      </c>
      <c r="S584" s="0" t="s">
        <v>32</v>
      </c>
      <c r="T584" s="0">
        <f>HYPERLINK("https://storage.sslt.ae/ItemVariation/08DCF9B0-1498-4978-8E3C-65ECE5965A8A/A586F08F-399D-4F76-BF0D-2866F1FD9D61.jpg","Variant Image")</f>
      </c>
      <c r="U584" s="0">
        <f>HYPERLINK("https://ec-qa-storage.kldlms.com/Item/08DCF9B0-1498-4978-8E3C-65ECE5965A8A/0F80C8B5-44B7-4A0D-95A6-B39DFDF37ED1.jpg","Thumbnail Image")</f>
      </c>
      <c r="V584" s="0">
        <f>HYPERLINK("https://ec-qa-storage.kldlms.com/ItemGallery/08DCF9B0-1498-4978-8E3C-65ECE5965A8A/AB7D0EB6-DAD9-4464-AFE6-E4E8F4BF0247.jpg","Gallery Image ")</f>
      </c>
      <c r="W584" s="0" t="s">
        <v>22</v>
      </c>
      <c r="X584" s="0" t="s">
        <v>2535</v>
      </c>
    </row>
    <row r="585">
      <c r="A585" s="0" t="s">
        <v>2536</v>
      </c>
      <c r="B585" s="0" t="s">
        <v>2536</v>
      </c>
      <c r="C585" s="0" t="s">
        <v>2537</v>
      </c>
      <c r="D585" s="0" t="s">
        <v>27</v>
      </c>
      <c r="E585" s="0" t="s">
        <v>2453</v>
      </c>
      <c r="F585" s="0" t="s">
        <v>2413</v>
      </c>
      <c r="G585" s="0" t="s">
        <v>2536</v>
      </c>
      <c r="H585" s="0" t="s">
        <v>2536</v>
      </c>
      <c r="I585" s="0" t="s">
        <v>2538</v>
      </c>
      <c r="J585" s="0" t="s">
        <v>2538</v>
      </c>
      <c r="K585" s="0" t="s">
        <v>2539</v>
      </c>
      <c r="L585" s="0" t="s">
        <v>32</v>
      </c>
      <c r="M585" s="0" t="s">
        <v>33</v>
      </c>
      <c r="N585" s="0" t="s">
        <v>32</v>
      </c>
      <c r="O585" s="0" t="s">
        <v>35</v>
      </c>
      <c r="P585" s="0" t="s">
        <v>590</v>
      </c>
      <c r="Q585" s="0" t="s">
        <v>2539</v>
      </c>
      <c r="R585" s="0" t="s">
        <v>2537</v>
      </c>
      <c r="S585" s="0" t="s">
        <v>32</v>
      </c>
      <c r="T585" s="0">
        <f>HYPERLINK("https://storage.sslt.ae/ItemVariation/08DCF9B0-14A3-47A8-8403-44E544B601DC/0096E53B-3B18-4164-B0BD-29E96390B142.jpg","Variant Image")</f>
      </c>
      <c r="U585" s="0">
        <f>HYPERLINK("https://ec-qa-storage.kldlms.com/Item/08DCF9B0-14A3-47A8-8403-44E544B601DC/5C5B3B12-CA85-4DFF-B1BA-A44EA083E49F.jpg","Thumbnail Image")</f>
      </c>
      <c r="V585" s="0">
        <f>HYPERLINK("https://ec-qa-storage.kldlms.com/ItemGallery/08DCF9B0-14A3-47A8-8403-44E544B601DC/CC7504EE-2E29-412C-8D27-FA3B6991D0EF.jpg","Gallery Image ")</f>
      </c>
      <c r="W585" s="0" t="s">
        <v>22</v>
      </c>
      <c r="X585" s="0" t="s">
        <v>2540</v>
      </c>
    </row>
    <row r="586">
      <c r="A586" s="0" t="s">
        <v>2541</v>
      </c>
      <c r="B586" s="0" t="s">
        <v>2541</v>
      </c>
      <c r="C586" s="0" t="s">
        <v>2542</v>
      </c>
      <c r="D586" s="0" t="s">
        <v>27</v>
      </c>
      <c r="E586" s="0" t="s">
        <v>2453</v>
      </c>
      <c r="F586" s="0" t="s">
        <v>2413</v>
      </c>
      <c r="G586" s="0" t="s">
        <v>2541</v>
      </c>
      <c r="H586" s="0" t="s">
        <v>2541</v>
      </c>
      <c r="I586" s="0" t="s">
        <v>2543</v>
      </c>
      <c r="J586" s="0" t="s">
        <v>2543</v>
      </c>
      <c r="K586" s="0" t="s">
        <v>2544</v>
      </c>
      <c r="L586" s="0" t="s">
        <v>32</v>
      </c>
      <c r="M586" s="0" t="s">
        <v>33</v>
      </c>
      <c r="N586" s="0" t="s">
        <v>32</v>
      </c>
      <c r="O586" s="0" t="s">
        <v>35</v>
      </c>
      <c r="P586" s="0" t="s">
        <v>1380</v>
      </c>
      <c r="Q586" s="0" t="s">
        <v>2544</v>
      </c>
      <c r="R586" s="0" t="s">
        <v>2542</v>
      </c>
      <c r="S586" s="0" t="s">
        <v>32</v>
      </c>
      <c r="T586" s="0">
        <f>HYPERLINK("https://storage.sslt.ae/ItemVariation/08DCF9B0-14B3-45E6-898F-9BF01B82ADE7/12DB08F5-08E3-4D2B-A599-FAAD2C6F8970.jpg","Variant Image")</f>
      </c>
      <c r="U586" s="0">
        <f>HYPERLINK("https://ec-qa-storage.kldlms.com/Item/08DCF9B0-14B3-45E6-898F-9BF01B82ADE7/30634F35-D0EB-4F75-A486-30E74BE34DC4.jpg","Thumbnail Image")</f>
      </c>
      <c r="V586" s="0">
        <f>HYPERLINK("https://ec-qa-storage.kldlms.com/ItemGallery/08DCF9B0-14B3-45E6-898F-9BF01B82ADE7/D2B99CE0-D3EC-4092-B397-EF746BE646CD.jpg","Gallery Image ")</f>
      </c>
      <c r="W586" s="0" t="s">
        <v>22</v>
      </c>
      <c r="X586" s="0" t="s">
        <v>2545</v>
      </c>
    </row>
    <row r="587">
      <c r="A587" s="0" t="s">
        <v>2541</v>
      </c>
      <c r="B587" s="0" t="s">
        <v>2541</v>
      </c>
      <c r="C587" s="0" t="s">
        <v>2546</v>
      </c>
      <c r="D587" s="0" t="s">
        <v>27</v>
      </c>
      <c r="E587" s="0" t="s">
        <v>2453</v>
      </c>
      <c r="F587" s="0" t="s">
        <v>2413</v>
      </c>
      <c r="G587" s="0" t="s">
        <v>2541</v>
      </c>
      <c r="H587" s="0" t="s">
        <v>2541</v>
      </c>
      <c r="I587" s="0" t="s">
        <v>2547</v>
      </c>
      <c r="J587" s="0" t="s">
        <v>2547</v>
      </c>
      <c r="K587" s="0" t="s">
        <v>2548</v>
      </c>
      <c r="L587" s="0" t="s">
        <v>32</v>
      </c>
      <c r="M587" s="0" t="s">
        <v>33</v>
      </c>
      <c r="N587" s="0" t="s">
        <v>32</v>
      </c>
      <c r="O587" s="0" t="s">
        <v>35</v>
      </c>
      <c r="P587" s="0" t="s">
        <v>527</v>
      </c>
      <c r="Q587" s="0" t="s">
        <v>2548</v>
      </c>
      <c r="R587" s="0" t="s">
        <v>2546</v>
      </c>
      <c r="S587" s="0" t="s">
        <v>32</v>
      </c>
      <c r="T587" s="0">
        <f>HYPERLINK("https://storage.sslt.ae/ItemVariation/08DCF9B0-14C9-43F3-859E-2F32F6D2D61B/9859F652-B275-48C4-AE90-3AF7BE1F06CF.jpg","Variant Image")</f>
      </c>
      <c r="U587" s="0">
        <f>HYPERLINK("https://ec-qa-storage.kldlms.com/Item/08DCF9B0-14C9-43F3-859E-2F32F6D2D61B/DCFA3FCE-D8DF-46E9-8EF3-383B5940A287.jpg","Thumbnail Image")</f>
      </c>
      <c r="V587" s="0">
        <f>HYPERLINK("https://ec-qa-storage.kldlms.com/ItemGallery/08DCF9B0-14C9-43F3-859E-2F32F6D2D61B/76763EA9-C643-49AA-93B4-F5A8D209EF86.jpg","Gallery Image ")</f>
      </c>
      <c r="W587" s="0" t="s">
        <v>22</v>
      </c>
      <c r="X587" s="0" t="s">
        <v>2549</v>
      </c>
    </row>
    <row r="588">
      <c r="A588" s="0" t="s">
        <v>2541</v>
      </c>
      <c r="B588" s="0" t="s">
        <v>2541</v>
      </c>
      <c r="C588" s="0" t="s">
        <v>2550</v>
      </c>
      <c r="D588" s="0" t="s">
        <v>27</v>
      </c>
      <c r="E588" s="0" t="s">
        <v>2453</v>
      </c>
      <c r="F588" s="0" t="s">
        <v>2413</v>
      </c>
      <c r="G588" s="0" t="s">
        <v>2541</v>
      </c>
      <c r="H588" s="0" t="s">
        <v>2541</v>
      </c>
      <c r="I588" s="0" t="s">
        <v>2551</v>
      </c>
      <c r="J588" s="0" t="s">
        <v>2551</v>
      </c>
      <c r="K588" s="0" t="s">
        <v>2552</v>
      </c>
      <c r="L588" s="0" t="s">
        <v>32</v>
      </c>
      <c r="M588" s="0" t="s">
        <v>33</v>
      </c>
      <c r="N588" s="0" t="s">
        <v>32</v>
      </c>
      <c r="O588" s="0" t="s">
        <v>35</v>
      </c>
      <c r="P588" s="0" t="s">
        <v>590</v>
      </c>
      <c r="Q588" s="0" t="s">
        <v>2552</v>
      </c>
      <c r="R588" s="0" t="s">
        <v>2550</v>
      </c>
      <c r="S588" s="0" t="s">
        <v>32</v>
      </c>
      <c r="T588" s="0">
        <f>HYPERLINK("https://storage.sslt.ae/ItemVariation/08DCF9B0-14DA-43DC-8673-CA903ECBE0D6/E74F6E87-98C0-4558-8E52-1A934A938D76.jpg","Variant Image")</f>
      </c>
      <c r="U588" s="0">
        <f>HYPERLINK("https://ec-qa-storage.kldlms.com/Item/08DCF9B0-14DA-43DC-8673-CA903ECBE0D6/D94B1219-E213-4B2E-8E4E-3BA68522C044.jpg","Thumbnail Image")</f>
      </c>
      <c r="V588" s="0">
        <f>HYPERLINK("https://ec-qa-storage.kldlms.com/ItemGallery/08DCF9B0-14DA-43DC-8673-CA903ECBE0D6/33CDA475-81AD-49D1-9F45-2B3A3889AD09.jpg","Gallery Image ")</f>
      </c>
      <c r="W588" s="0" t="s">
        <v>22</v>
      </c>
      <c r="X588" s="0" t="s">
        <v>2553</v>
      </c>
    </row>
    <row r="589">
      <c r="A589" s="0" t="s">
        <v>2554</v>
      </c>
      <c r="B589" s="0" t="s">
        <v>2554</v>
      </c>
      <c r="C589" s="0" t="s">
        <v>2555</v>
      </c>
      <c r="D589" s="0" t="s">
        <v>27</v>
      </c>
      <c r="E589" s="0" t="s">
        <v>2453</v>
      </c>
      <c r="F589" s="0" t="s">
        <v>2413</v>
      </c>
      <c r="G589" s="0" t="s">
        <v>2554</v>
      </c>
      <c r="H589" s="0" t="s">
        <v>2554</v>
      </c>
      <c r="I589" s="0" t="s">
        <v>2556</v>
      </c>
      <c r="J589" s="0" t="s">
        <v>2556</v>
      </c>
      <c r="K589" s="0" t="s">
        <v>2557</v>
      </c>
      <c r="L589" s="0" t="s">
        <v>32</v>
      </c>
      <c r="M589" s="0" t="s">
        <v>33</v>
      </c>
      <c r="N589" s="0" t="s">
        <v>32</v>
      </c>
      <c r="O589" s="0" t="s">
        <v>35</v>
      </c>
      <c r="P589" s="0" t="s">
        <v>527</v>
      </c>
      <c r="Q589" s="0" t="s">
        <v>2557</v>
      </c>
      <c r="R589" s="0" t="s">
        <v>2555</v>
      </c>
      <c r="S589" s="0" t="s">
        <v>32</v>
      </c>
      <c r="T589" s="0">
        <f>HYPERLINK("https://storage.sslt.ae/ItemVariation/08DCF9B0-14EB-4F4D-8BEA-DEDE28A418E9/ED906F51-F35F-4DEB-AFCA-6B64F9AF8FE5.jpg","Variant Image")</f>
      </c>
      <c r="U589" s="0">
        <f>HYPERLINK("https://ec-qa-storage.kldlms.com/Item/08DCF9B0-14EB-4F4D-8BEA-DEDE28A418E9/36D2BC91-410D-477D-86E0-4599290BFB71.jpg","Thumbnail Image")</f>
      </c>
      <c r="V589" s="0">
        <f>HYPERLINK("https://ec-qa-storage.kldlms.com/ItemGallery/08DCF9B0-14EB-4F4D-8BEA-DEDE28A418E9/77D19BFE-3E8F-4CFB-B6DD-9376F9416F34.jpg","Gallery Image ")</f>
      </c>
      <c r="W589" s="0" t="s">
        <v>22</v>
      </c>
      <c r="X589" s="0" t="s">
        <v>2558</v>
      </c>
    </row>
    <row r="590">
      <c r="A590" s="0" t="s">
        <v>2559</v>
      </c>
      <c r="B590" s="0" t="s">
        <v>2559</v>
      </c>
      <c r="C590" s="0" t="s">
        <v>2560</v>
      </c>
      <c r="D590" s="0" t="s">
        <v>27</v>
      </c>
      <c r="E590" s="0" t="s">
        <v>2561</v>
      </c>
      <c r="F590" s="0" t="s">
        <v>2413</v>
      </c>
      <c r="G590" s="0" t="s">
        <v>2559</v>
      </c>
      <c r="H590" s="0" t="s">
        <v>2559</v>
      </c>
      <c r="I590" s="0" t="s">
        <v>2562</v>
      </c>
      <c r="J590" s="0" t="s">
        <v>2562</v>
      </c>
      <c r="K590" s="0" t="s">
        <v>2563</v>
      </c>
      <c r="L590" s="0" t="s">
        <v>32</v>
      </c>
      <c r="M590" s="0" t="s">
        <v>33</v>
      </c>
      <c r="N590" s="0" t="s">
        <v>32</v>
      </c>
      <c r="O590" s="0" t="s">
        <v>35</v>
      </c>
      <c r="P590" s="0" t="s">
        <v>590</v>
      </c>
      <c r="Q590" s="0" t="s">
        <v>2563</v>
      </c>
      <c r="R590" s="0" t="s">
        <v>2560</v>
      </c>
      <c r="S590" s="0" t="s">
        <v>32</v>
      </c>
      <c r="T590" s="0">
        <f>HYPERLINK("https://storage.sslt.ae/ItemVariation/08DCF9B0-175D-4C70-8811-7CEEC835DDFA/6619D85E-9E79-49E8-99AF-CD865B55F66F.jpg","Variant Image")</f>
      </c>
      <c r="U590" s="0">
        <f>HYPERLINK("https://ec-qa-storage.kldlms.com/Item/08DCF9B0-175D-4C70-8811-7CEEC835DDFA/DEFAB22C-8A13-4F4A-9BE0-E6821C1643DE.jpg","Thumbnail Image")</f>
      </c>
      <c r="V590" s="0">
        <f>HYPERLINK("https://ec-qa-storage.kldlms.com/ItemGallery/08DCF9B0-175D-4C70-8811-7CEEC835DDFA/4352FD6C-9D62-4226-853A-79FBCA05847B.jpg","Gallery Image ")</f>
      </c>
      <c r="W590" s="0" t="s">
        <v>22</v>
      </c>
      <c r="X590" s="0" t="s">
        <v>2564</v>
      </c>
    </row>
    <row r="591">
      <c r="A591" s="0" t="s">
        <v>2565</v>
      </c>
      <c r="B591" s="0" t="s">
        <v>2565</v>
      </c>
      <c r="C591" s="0" t="s">
        <v>2566</v>
      </c>
      <c r="D591" s="0" t="s">
        <v>27</v>
      </c>
      <c r="E591" s="0" t="s">
        <v>2561</v>
      </c>
      <c r="F591" s="0" t="s">
        <v>2413</v>
      </c>
      <c r="G591" s="0" t="s">
        <v>2565</v>
      </c>
      <c r="H591" s="0" t="s">
        <v>2565</v>
      </c>
      <c r="I591" s="0" t="s">
        <v>2567</v>
      </c>
      <c r="J591" s="0" t="s">
        <v>2567</v>
      </c>
      <c r="K591" s="0" t="s">
        <v>2563</v>
      </c>
      <c r="L591" s="0" t="s">
        <v>32</v>
      </c>
      <c r="M591" s="0" t="s">
        <v>33</v>
      </c>
      <c r="N591" s="0" t="s">
        <v>32</v>
      </c>
      <c r="O591" s="0" t="s">
        <v>35</v>
      </c>
      <c r="P591" s="0" t="s">
        <v>1380</v>
      </c>
      <c r="Q591" s="0" t="s">
        <v>2563</v>
      </c>
      <c r="R591" s="0" t="s">
        <v>2566</v>
      </c>
      <c r="S591" s="0" t="s">
        <v>32</v>
      </c>
      <c r="T591" s="0">
        <f>HYPERLINK("https://storage.sslt.ae/ItemVariation/08DCF9B0-1775-495D-899B-B07EB8583B95/F6F2FA53-4E56-4E25-8A9F-7A1B85260EA6.jpg","Variant Image")</f>
      </c>
      <c r="U591" s="0">
        <f>HYPERLINK("https://ec-qa-storage.kldlms.com/Item/08DCF9B0-1775-495D-899B-B07EB8583B95/21864EEC-2F84-40AA-A41D-67D86BE90B4B.jpg","Thumbnail Image")</f>
      </c>
      <c r="V591" s="0">
        <f>HYPERLINK("https://ec-qa-storage.kldlms.com/ItemGallery/08DCF9B0-1775-495D-899B-B07EB8583B95/411E5126-DE4F-45D5-AC1C-AA39766265C2.jpg","Gallery Image ")</f>
      </c>
      <c r="W591" s="0" t="s">
        <v>22</v>
      </c>
      <c r="X591" s="0" t="s">
        <v>2568</v>
      </c>
    </row>
    <row r="592">
      <c r="A592" s="0" t="s">
        <v>2569</v>
      </c>
      <c r="B592" s="0" t="s">
        <v>2569</v>
      </c>
      <c r="C592" s="0" t="s">
        <v>2570</v>
      </c>
      <c r="D592" s="0" t="s">
        <v>27</v>
      </c>
      <c r="E592" s="0" t="s">
        <v>2561</v>
      </c>
      <c r="F592" s="0" t="s">
        <v>2413</v>
      </c>
      <c r="G592" s="0" t="s">
        <v>2569</v>
      </c>
      <c r="H592" s="0" t="s">
        <v>2569</v>
      </c>
      <c r="I592" s="0" t="s">
        <v>2571</v>
      </c>
      <c r="J592" s="0" t="s">
        <v>2571</v>
      </c>
      <c r="K592" s="0" t="s">
        <v>2572</v>
      </c>
      <c r="L592" s="0" t="s">
        <v>32</v>
      </c>
      <c r="M592" s="0" t="s">
        <v>33</v>
      </c>
      <c r="N592" s="0" t="s">
        <v>32</v>
      </c>
      <c r="O592" s="0" t="s">
        <v>35</v>
      </c>
      <c r="P592" s="0" t="s">
        <v>527</v>
      </c>
      <c r="Q592" s="0" t="s">
        <v>2572</v>
      </c>
      <c r="R592" s="0" t="s">
        <v>2570</v>
      </c>
      <c r="S592" s="0" t="s">
        <v>32</v>
      </c>
      <c r="T592" s="0">
        <f>HYPERLINK("https://storage.sslt.ae/ItemVariation/08DCF9B0-1780-4327-877F-3B9CF1B120EE/702334E0-4284-4C11-A536-7CC74473F1D1.jpg","Variant Image")</f>
      </c>
      <c r="U592" s="0">
        <f>HYPERLINK("https://ec-qa-storage.kldlms.com/Item/08DCF9B0-1780-4327-877F-3B9CF1B120EE/57D4E704-7D2A-46F7-9515-DADC22E2B0E9.jpg","Thumbnail Image")</f>
      </c>
      <c r="V592" s="0">
        <f>HYPERLINK("https://ec-qa-storage.kldlms.com/ItemGallery/08DCF9B0-1780-4327-877F-3B9CF1B120EE/3AF23FD3-55A6-4483-B38F-1AE864958020.jpg","Gallery Image ")</f>
      </c>
      <c r="W592" s="0" t="s">
        <v>22</v>
      </c>
      <c r="X592" s="0" t="s">
        <v>2573</v>
      </c>
    </row>
    <row r="593">
      <c r="A593" s="0" t="s">
        <v>2574</v>
      </c>
      <c r="B593" s="0" t="s">
        <v>2574</v>
      </c>
      <c r="C593" s="0" t="s">
        <v>2575</v>
      </c>
      <c r="D593" s="0" t="s">
        <v>27</v>
      </c>
      <c r="E593" s="0" t="s">
        <v>2561</v>
      </c>
      <c r="F593" s="0" t="s">
        <v>2413</v>
      </c>
      <c r="G593" s="0" t="s">
        <v>2574</v>
      </c>
      <c r="H593" s="0" t="s">
        <v>2574</v>
      </c>
      <c r="I593" s="0" t="s">
        <v>2576</v>
      </c>
      <c r="J593" s="0" t="s">
        <v>2576</v>
      </c>
      <c r="K593" s="0" t="s">
        <v>2577</v>
      </c>
      <c r="L593" s="0" t="s">
        <v>32</v>
      </c>
      <c r="M593" s="0" t="s">
        <v>33</v>
      </c>
      <c r="N593" s="0" t="s">
        <v>32</v>
      </c>
      <c r="O593" s="0" t="s">
        <v>35</v>
      </c>
      <c r="P593" s="0" t="s">
        <v>590</v>
      </c>
      <c r="Q593" s="0" t="s">
        <v>2577</v>
      </c>
      <c r="R593" s="0" t="s">
        <v>2575</v>
      </c>
      <c r="S593" s="0" t="s">
        <v>32</v>
      </c>
      <c r="T593" s="0">
        <f>HYPERLINK("https://storage.sslt.ae/ItemVariation/08DCF9B0-1790-4A70-8B28-7990BE82CE3B/A2AC732E-DAC4-4D95-99FC-190281A77DF5.jpg","Variant Image")</f>
      </c>
      <c r="U593" s="0">
        <f>HYPERLINK("https://ec-qa-storage.kldlms.com/Item/08DCF9B0-1790-4A70-8B28-7990BE82CE3B/DF73035A-D307-4EA9-82DA-7713561DB955.jpg","Thumbnail Image")</f>
      </c>
      <c r="V593" s="0">
        <f>HYPERLINK("https://ec-qa-storage.kldlms.com/ItemGallery/08DCF9B0-1790-4A70-8B28-7990BE82CE3B/00D77BB6-32CA-4E2C-9382-0AF7F2E16381.jpg","Gallery Image ")</f>
      </c>
      <c r="W593" s="0" t="s">
        <v>22</v>
      </c>
      <c r="X593" s="0" t="s">
        <v>2578</v>
      </c>
    </row>
    <row r="594">
      <c r="A594" s="0" t="s">
        <v>2579</v>
      </c>
      <c r="B594" s="0" t="s">
        <v>2579</v>
      </c>
      <c r="C594" s="0" t="s">
        <v>2580</v>
      </c>
      <c r="D594" s="0" t="s">
        <v>27</v>
      </c>
      <c r="E594" s="0" t="s">
        <v>2561</v>
      </c>
      <c r="F594" s="0" t="s">
        <v>2413</v>
      </c>
      <c r="G594" s="0" t="s">
        <v>2579</v>
      </c>
      <c r="H594" s="0" t="s">
        <v>2579</v>
      </c>
      <c r="I594" s="0" t="s">
        <v>2581</v>
      </c>
      <c r="J594" s="0" t="s">
        <v>2581</v>
      </c>
      <c r="K594" s="0" t="s">
        <v>2577</v>
      </c>
      <c r="L594" s="0" t="s">
        <v>32</v>
      </c>
      <c r="M594" s="0" t="s">
        <v>33</v>
      </c>
      <c r="N594" s="0" t="s">
        <v>32</v>
      </c>
      <c r="O594" s="0" t="s">
        <v>35</v>
      </c>
      <c r="P594" s="0" t="s">
        <v>1380</v>
      </c>
      <c r="Q594" s="0" t="s">
        <v>2577</v>
      </c>
      <c r="R594" s="0" t="s">
        <v>2580</v>
      </c>
      <c r="S594" s="0" t="s">
        <v>32</v>
      </c>
      <c r="T594" s="0">
        <f>HYPERLINK("https://storage.sslt.ae/ItemVariation/08DCF9B0-17AC-474D-8133-353D391E6A9D/C80CDC2B-E107-4D8C-83C8-3EDAF590265A.jpg","Variant Image")</f>
      </c>
      <c r="U594" s="0">
        <f>HYPERLINK("https://ec-qa-storage.kldlms.com/Item/08DCF9B0-17AC-474D-8133-353D391E6A9D/269BB84B-95A3-4D6D-8CB1-27121367A414.jpg","Thumbnail Image")</f>
      </c>
      <c r="V594" s="0">
        <f>HYPERLINK("https://ec-qa-storage.kldlms.com/ItemGallery/08DCF9B0-17AC-474D-8133-353D391E6A9D/37A0D9FB-C4AC-4025-BE70-ECC98BED791E.jpg","Gallery Image ")</f>
      </c>
      <c r="W594" s="0" t="s">
        <v>22</v>
      </c>
      <c r="X594" s="0" t="s">
        <v>2582</v>
      </c>
    </row>
    <row r="595">
      <c r="A595" s="0" t="s">
        <v>2428</v>
      </c>
      <c r="B595" s="0" t="s">
        <v>2428</v>
      </c>
      <c r="C595" s="0" t="s">
        <v>2583</v>
      </c>
      <c r="D595" s="0" t="s">
        <v>27</v>
      </c>
      <c r="E595" s="0" t="s">
        <v>2584</v>
      </c>
      <c r="F595" s="0" t="s">
        <v>2413</v>
      </c>
      <c r="G595" s="0" t="s">
        <v>2428</v>
      </c>
      <c r="H595" s="0" t="s">
        <v>2428</v>
      </c>
      <c r="I595" s="0" t="s">
        <v>2585</v>
      </c>
      <c r="J595" s="0" t="s">
        <v>2585</v>
      </c>
      <c r="K595" s="0" t="s">
        <v>2586</v>
      </c>
      <c r="L595" s="0" t="s">
        <v>32</v>
      </c>
      <c r="M595" s="0" t="s">
        <v>33</v>
      </c>
      <c r="N595" s="0" t="s">
        <v>32</v>
      </c>
      <c r="O595" s="0" t="s">
        <v>35</v>
      </c>
      <c r="P595" s="0" t="s">
        <v>527</v>
      </c>
      <c r="Q595" s="0" t="s">
        <v>2586</v>
      </c>
      <c r="R595" s="0" t="s">
        <v>2583</v>
      </c>
      <c r="S595" s="0" t="s">
        <v>32</v>
      </c>
      <c r="T595" s="0">
        <f>HYPERLINK("https://storage.sslt.ae/ItemVariation/08DCF9B0-1A0C-4E7E-8E29-891865195355/510D0279-F7F4-4019-ACF9-A14A6618FAA8.jpg","Variant Image")</f>
      </c>
      <c r="U595" s="0">
        <f>HYPERLINK("https://ec-qa-storage.kldlms.com/Item/08DCF9B0-1A0C-4E7E-8E29-891865195355/90F977DB-BEE2-4782-9D0D-72ADEA08F636.jpg","Thumbnail Image")</f>
      </c>
      <c r="V595" s="0">
        <f>HYPERLINK("https://ec-qa-storage.kldlms.com/ItemGallery/08DCF9B0-1A0C-4E7E-8E29-891865195355/0D7CAD0F-4994-49D9-A669-542E83CEB459.jpg","Gallery Image ")</f>
      </c>
      <c r="W595" s="0" t="s">
        <v>22</v>
      </c>
      <c r="X595" s="0" t="s">
        <v>2587</v>
      </c>
    </row>
    <row r="596">
      <c r="A596" s="0" t="s">
        <v>2588</v>
      </c>
      <c r="B596" s="0" t="s">
        <v>2588</v>
      </c>
      <c r="C596" s="0" t="s">
        <v>2589</v>
      </c>
      <c r="D596" s="0" t="s">
        <v>27</v>
      </c>
      <c r="E596" s="0" t="s">
        <v>2584</v>
      </c>
      <c r="F596" s="0" t="s">
        <v>2413</v>
      </c>
      <c r="G596" s="0" t="s">
        <v>2588</v>
      </c>
      <c r="H596" s="0" t="s">
        <v>2588</v>
      </c>
      <c r="I596" s="0" t="s">
        <v>2590</v>
      </c>
      <c r="J596" s="0" t="s">
        <v>2590</v>
      </c>
      <c r="K596" s="0" t="s">
        <v>2591</v>
      </c>
      <c r="L596" s="0" t="s">
        <v>32</v>
      </c>
      <c r="M596" s="0" t="s">
        <v>33</v>
      </c>
      <c r="N596" s="0" t="s">
        <v>32</v>
      </c>
      <c r="O596" s="0" t="s">
        <v>35</v>
      </c>
      <c r="P596" s="0" t="s">
        <v>527</v>
      </c>
      <c r="Q596" s="0" t="s">
        <v>2591</v>
      </c>
      <c r="R596" s="0" t="s">
        <v>2589</v>
      </c>
      <c r="S596" s="0" t="s">
        <v>32</v>
      </c>
      <c r="T596" s="0">
        <f>HYPERLINK("https://storage.sslt.ae/ItemVariation/08DCF9B0-1A38-4D8D-8ACF-3961CD92F951/9FD8AD19-544F-4172-BBE8-7A8BF1C64DAB.jpg","Variant Image")</f>
      </c>
      <c r="U596" s="0">
        <f>HYPERLINK("https://ec-qa-storage.kldlms.com/Item/08DCF9B0-1A38-4D8D-8ACF-3961CD92F951/4398B653-0522-4721-8299-1D316608FE8F.jpg","Thumbnail Image")</f>
      </c>
      <c r="V596" s="0">
        <f>HYPERLINK("https://ec-qa-storage.kldlms.com/ItemGallery/08DCF9B0-1A38-4D8D-8ACF-3961CD92F951/C7E0178D-51B2-4C7F-9C4A-17B7A8CF81F5.jpg","Gallery Image ")</f>
      </c>
      <c r="W596" s="0" t="s">
        <v>22</v>
      </c>
      <c r="X596" s="0" t="s">
        <v>2592</v>
      </c>
    </row>
    <row r="597">
      <c r="A597" s="0" t="s">
        <v>2593</v>
      </c>
      <c r="B597" s="0" t="s">
        <v>2593</v>
      </c>
      <c r="C597" s="0" t="s">
        <v>2594</v>
      </c>
      <c r="D597" s="0" t="s">
        <v>27</v>
      </c>
      <c r="E597" s="0" t="s">
        <v>2595</v>
      </c>
      <c r="F597" s="0" t="s">
        <v>2413</v>
      </c>
      <c r="G597" s="0" t="s">
        <v>2593</v>
      </c>
      <c r="H597" s="0" t="s">
        <v>2593</v>
      </c>
      <c r="I597" s="0" t="s">
        <v>2596</v>
      </c>
      <c r="J597" s="0" t="s">
        <v>2596</v>
      </c>
      <c r="K597" s="0" t="s">
        <v>2597</v>
      </c>
      <c r="L597" s="0" t="s">
        <v>32</v>
      </c>
      <c r="M597" s="0" t="s">
        <v>33</v>
      </c>
      <c r="N597" s="0" t="s">
        <v>32</v>
      </c>
      <c r="O597" s="0" t="s">
        <v>35</v>
      </c>
      <c r="P597" s="0" t="s">
        <v>996</v>
      </c>
      <c r="Q597" s="0" t="s">
        <v>2597</v>
      </c>
      <c r="R597" s="0" t="s">
        <v>2594</v>
      </c>
      <c r="S597" s="0" t="s">
        <v>32</v>
      </c>
      <c r="T597" s="0">
        <f>HYPERLINK("https://storage.sslt.ae/ItemVariation/08DCF9B0-1C80-4220-86E0-BFB66E5A73C2/D62A0E04-67EE-4CB2-854B-D841DC86664D.jpg","Variant Image")</f>
      </c>
      <c r="U597" s="0">
        <f>HYPERLINK("https://ec-qa-storage.kldlms.com/Item/08DCF9B0-1C80-4220-86E0-BFB66E5A73C2/291C5E0D-4D03-40C1-AA01-00C218F14A62.jpg","Thumbnail Image")</f>
      </c>
      <c r="V597" s="0">
        <f>HYPERLINK("https://ec-qa-storage.kldlms.com/ItemGallery/08DCF9B0-1C80-4220-86E0-BFB66E5A73C2/A1FDA0E4-B3DC-495F-8929-9CC456F79AAE.jpg","Gallery Image ")</f>
      </c>
      <c r="W597" s="0" t="s">
        <v>22</v>
      </c>
      <c r="X597" s="0" t="s">
        <v>2598</v>
      </c>
    </row>
    <row r="598">
      <c r="A598" s="0" t="s">
        <v>2599</v>
      </c>
      <c r="B598" s="0" t="s">
        <v>2599</v>
      </c>
      <c r="C598" s="0" t="s">
        <v>2600</v>
      </c>
      <c r="D598" s="0" t="s">
        <v>27</v>
      </c>
      <c r="E598" s="0" t="s">
        <v>2595</v>
      </c>
      <c r="F598" s="0" t="s">
        <v>2413</v>
      </c>
      <c r="G598" s="0" t="s">
        <v>2599</v>
      </c>
      <c r="H598" s="0" t="s">
        <v>2599</v>
      </c>
      <c r="I598" s="0" t="s">
        <v>2601</v>
      </c>
      <c r="J598" s="0" t="s">
        <v>2601</v>
      </c>
      <c r="K598" s="0" t="s">
        <v>2602</v>
      </c>
      <c r="L598" s="0" t="s">
        <v>32</v>
      </c>
      <c r="M598" s="0" t="s">
        <v>33</v>
      </c>
      <c r="N598" s="0" t="s">
        <v>32</v>
      </c>
      <c r="O598" s="0" t="s">
        <v>35</v>
      </c>
      <c r="P598" s="0" t="s">
        <v>1323</v>
      </c>
      <c r="Q598" s="0" t="s">
        <v>2602</v>
      </c>
      <c r="R598" s="0" t="s">
        <v>2600</v>
      </c>
      <c r="S598" s="0" t="s">
        <v>32</v>
      </c>
      <c r="T598" s="0">
        <f>HYPERLINK("https://storage.sslt.ae/ItemVariation/08DCF9B0-1C95-45BF-84D1-78BE6DDEC989/B62881BC-5A89-48DA-8C52-23A66E4D5D87.jpg","Variant Image")</f>
      </c>
      <c r="U598" s="0">
        <f>HYPERLINK("https://ec-qa-storage.kldlms.com/Item/08DCF9B0-1C95-45BF-84D1-78BE6DDEC989/AD2B33F0-78CB-4A03-94D2-0D790C2754D9.jpg","Thumbnail Image")</f>
      </c>
      <c r="V598" s="0">
        <f>HYPERLINK("https://ec-qa-storage.kldlms.com/ItemGallery/08DCF9B0-1C95-45BF-84D1-78BE6DDEC989/32BC96E9-AA91-490B-9B27-80B327F886C0.jpg","Gallery Image ")</f>
      </c>
      <c r="W598" s="0" t="s">
        <v>22</v>
      </c>
      <c r="X598" s="0" t="s">
        <v>2603</v>
      </c>
    </row>
    <row r="599">
      <c r="A599" s="0" t="s">
        <v>2604</v>
      </c>
      <c r="B599" s="0" t="s">
        <v>2604</v>
      </c>
      <c r="C599" s="0" t="s">
        <v>2605</v>
      </c>
      <c r="D599" s="0" t="s">
        <v>27</v>
      </c>
      <c r="E599" s="0" t="s">
        <v>2595</v>
      </c>
      <c r="F599" s="0" t="s">
        <v>2413</v>
      </c>
      <c r="G599" s="0" t="s">
        <v>2604</v>
      </c>
      <c r="H599" s="0" t="s">
        <v>2604</v>
      </c>
      <c r="I599" s="0" t="s">
        <v>2606</v>
      </c>
      <c r="J599" s="0" t="s">
        <v>2606</v>
      </c>
      <c r="K599" s="0" t="s">
        <v>2607</v>
      </c>
      <c r="L599" s="0" t="s">
        <v>32</v>
      </c>
      <c r="M599" s="0" t="s">
        <v>33</v>
      </c>
      <c r="N599" s="0" t="s">
        <v>32</v>
      </c>
      <c r="O599" s="0" t="s">
        <v>35</v>
      </c>
      <c r="P599" s="0" t="s">
        <v>590</v>
      </c>
      <c r="Q599" s="0" t="s">
        <v>2607</v>
      </c>
      <c r="R599" s="0" t="s">
        <v>2605</v>
      </c>
      <c r="S599" s="0" t="s">
        <v>32</v>
      </c>
      <c r="T599" s="0">
        <f>HYPERLINK("https://storage.sslt.ae/ItemVariation/08DCF9B0-1CAD-4C01-84DB-53FD6DF1764F/B56CBE58-4F15-43D2-BAD5-F36FB35675EE.jpg","Variant Image")</f>
      </c>
      <c r="U599" s="0">
        <f>HYPERLINK("https://ec-qa-storage.kldlms.com/Item/08DCF9B0-1CAD-4C01-84DB-53FD6DF1764F/B16B2DE9-913C-49C6-8BCC-A2131E47ECB0.jpg","Thumbnail Image")</f>
      </c>
      <c r="V599" s="0">
        <f>HYPERLINK("https://ec-qa-storage.kldlms.com/ItemGallery/08DCF9B0-1CAD-4C01-84DB-53FD6DF1764F/03196CE2-1B03-44E1-A69A-0B247A96D41F.jpg","Gallery Image ")</f>
      </c>
      <c r="W599" s="0" t="s">
        <v>22</v>
      </c>
      <c r="X599" s="0" t="s">
        <v>2608</v>
      </c>
    </row>
    <row r="600">
      <c r="A600" s="0" t="s">
        <v>2609</v>
      </c>
      <c r="B600" s="0" t="s">
        <v>2609</v>
      </c>
      <c r="C600" s="0" t="s">
        <v>2610</v>
      </c>
      <c r="D600" s="0" t="s">
        <v>27</v>
      </c>
      <c r="E600" s="0" t="s">
        <v>2595</v>
      </c>
      <c r="F600" s="0" t="s">
        <v>2413</v>
      </c>
      <c r="G600" s="0" t="s">
        <v>2609</v>
      </c>
      <c r="H600" s="0" t="s">
        <v>2609</v>
      </c>
      <c r="I600" s="0" t="s">
        <v>2611</v>
      </c>
      <c r="J600" s="0" t="s">
        <v>2611</v>
      </c>
      <c r="K600" s="0" t="s">
        <v>2612</v>
      </c>
      <c r="L600" s="0" t="s">
        <v>32</v>
      </c>
      <c r="M600" s="0" t="s">
        <v>33</v>
      </c>
      <c r="N600" s="0" t="s">
        <v>32</v>
      </c>
      <c r="O600" s="0" t="s">
        <v>35</v>
      </c>
      <c r="P600" s="0" t="s">
        <v>1380</v>
      </c>
      <c r="Q600" s="0" t="s">
        <v>2612</v>
      </c>
      <c r="R600" s="0" t="s">
        <v>2610</v>
      </c>
      <c r="S600" s="0" t="s">
        <v>32</v>
      </c>
      <c r="T600" s="0">
        <f>HYPERLINK("https://storage.sslt.ae/ItemVariation/08DCF9B0-1CC3-4EF2-8152-BC84849A726F/163D72E5-F42B-4C43-980F-E7EACDC7620F.jpg","Variant Image")</f>
      </c>
      <c r="U600" s="0">
        <f>HYPERLINK("https://ec-qa-storage.kldlms.com/Item/08DCF9B0-1CC3-4EF2-8152-BC84849A726F/1FDEB9AC-36A6-4A35-9230-6C143750683B.jpg","Thumbnail Image")</f>
      </c>
      <c r="V600" s="0">
        <f>HYPERLINK("https://ec-qa-storage.kldlms.com/ItemGallery/08DCF9B0-1CC3-4EF2-8152-BC84849A726F/4DD48B29-AEBF-409B-BA78-A43E70F6F050.jpg","Gallery Image ")</f>
      </c>
      <c r="W600" s="0" t="s">
        <v>22</v>
      </c>
      <c r="X600" s="0" t="s">
        <v>2613</v>
      </c>
    </row>
    <row r="601">
      <c r="A601" s="0" t="s">
        <v>2609</v>
      </c>
      <c r="B601" s="0" t="s">
        <v>2609</v>
      </c>
      <c r="C601" s="0" t="s">
        <v>2614</v>
      </c>
      <c r="D601" s="0" t="s">
        <v>27</v>
      </c>
      <c r="E601" s="0" t="s">
        <v>2595</v>
      </c>
      <c r="F601" s="0" t="s">
        <v>2413</v>
      </c>
      <c r="G601" s="0" t="s">
        <v>2609</v>
      </c>
      <c r="H601" s="0" t="s">
        <v>2609</v>
      </c>
      <c r="I601" s="0" t="s">
        <v>2615</v>
      </c>
      <c r="J601" s="0" t="s">
        <v>2615</v>
      </c>
      <c r="K601" s="0" t="s">
        <v>2616</v>
      </c>
      <c r="L601" s="0" t="s">
        <v>32</v>
      </c>
      <c r="M601" s="0" t="s">
        <v>33</v>
      </c>
      <c r="N601" s="0" t="s">
        <v>32</v>
      </c>
      <c r="O601" s="0" t="s">
        <v>35</v>
      </c>
      <c r="P601" s="0" t="s">
        <v>527</v>
      </c>
      <c r="Q601" s="0" t="s">
        <v>2616</v>
      </c>
      <c r="R601" s="0" t="s">
        <v>2614</v>
      </c>
      <c r="S601" s="0" t="s">
        <v>32</v>
      </c>
      <c r="T601" s="0">
        <f>HYPERLINK("https://storage.sslt.ae/ItemVariation/08DCF9B0-1CD8-4FEF-8DA9-C7F2AC156CF9/6ED60E34-B7B6-4190-8D6D-0E01D8A886A7.jpg","Variant Image")</f>
      </c>
      <c r="U601" s="0">
        <f>HYPERLINK("https://ec-qa-storage.kldlms.com/Item/08DCF9B0-1CD8-4FEF-8DA9-C7F2AC156CF9/B6DD77E2-343A-4F8B-A02B-F96534F5C8E7.jpg","Thumbnail Image")</f>
      </c>
      <c r="V601" s="0">
        <f>HYPERLINK("https://ec-qa-storage.kldlms.com/ItemGallery/08DCF9B0-1CD8-4FEF-8DA9-C7F2AC156CF9/5EF8AE44-6369-42C5-95DB-51C37A3D5C4D.jpg","Gallery Image ")</f>
      </c>
      <c r="W601" s="0" t="s">
        <v>22</v>
      </c>
      <c r="X601" s="0" t="s">
        <v>2617</v>
      </c>
    </row>
    <row r="602">
      <c r="A602" s="0" t="s">
        <v>2618</v>
      </c>
      <c r="B602" s="0" t="s">
        <v>2618</v>
      </c>
      <c r="C602" s="0" t="s">
        <v>2619</v>
      </c>
      <c r="D602" s="0" t="s">
        <v>27</v>
      </c>
      <c r="E602" s="0" t="s">
        <v>2620</v>
      </c>
      <c r="F602" s="0" t="s">
        <v>2413</v>
      </c>
      <c r="G602" s="0" t="s">
        <v>2618</v>
      </c>
      <c r="H602" s="0" t="s">
        <v>2618</v>
      </c>
      <c r="I602" s="0" t="s">
        <v>2621</v>
      </c>
      <c r="J602" s="0" t="s">
        <v>2621</v>
      </c>
      <c r="K602" s="0" t="s">
        <v>2622</v>
      </c>
      <c r="L602" s="0" t="s">
        <v>32</v>
      </c>
      <c r="M602" s="0" t="s">
        <v>33</v>
      </c>
      <c r="N602" s="0" t="s">
        <v>32</v>
      </c>
      <c r="O602" s="0" t="s">
        <v>35</v>
      </c>
      <c r="P602" s="0" t="s">
        <v>527</v>
      </c>
      <c r="Q602" s="0" t="s">
        <v>2622</v>
      </c>
      <c r="R602" s="0" t="s">
        <v>2619</v>
      </c>
      <c r="S602" s="0" t="s">
        <v>32</v>
      </c>
      <c r="T602" s="0">
        <f>HYPERLINK("https://storage.sslt.ae/ItemVariation/08DCF9B0-1ECC-4069-89D4-84281211948F/E7EC5934-088A-4776-8AF4-B897AFEAE880.jpg","Variant Image")</f>
      </c>
      <c r="U602" s="0">
        <f>HYPERLINK("https://ec-qa-storage.kldlms.com/Item/08DCF9B0-1ECC-4069-89D4-84281211948F/D3013FB7-F015-4FFF-9B13-8EFCF8E4772D.jpg","Thumbnail Image")</f>
      </c>
      <c r="V602" s="0">
        <f>HYPERLINK("https://ec-qa-storage.kldlms.com/ItemGallery/08DCF9B0-1ECC-4069-89D4-84281211948F/FBF9FC73-60AA-45CF-9A4C-5B88841D224B.jpg","Gallery Image ")</f>
      </c>
      <c r="W602" s="0" t="s">
        <v>22</v>
      </c>
      <c r="X602" s="0" t="s">
        <v>2623</v>
      </c>
    </row>
    <row r="603">
      <c r="A603" s="0" t="s">
        <v>2618</v>
      </c>
      <c r="B603" s="0" t="s">
        <v>2618</v>
      </c>
      <c r="C603" s="0" t="s">
        <v>2624</v>
      </c>
      <c r="D603" s="0" t="s">
        <v>27</v>
      </c>
      <c r="E603" s="0" t="s">
        <v>2620</v>
      </c>
      <c r="F603" s="0" t="s">
        <v>2413</v>
      </c>
      <c r="G603" s="0" t="s">
        <v>2618</v>
      </c>
      <c r="H603" s="0" t="s">
        <v>2618</v>
      </c>
      <c r="I603" s="0" t="s">
        <v>2625</v>
      </c>
      <c r="J603" s="0" t="s">
        <v>2625</v>
      </c>
      <c r="K603" s="0" t="s">
        <v>2626</v>
      </c>
      <c r="L603" s="0" t="s">
        <v>32</v>
      </c>
      <c r="M603" s="0" t="s">
        <v>33</v>
      </c>
      <c r="N603" s="0" t="s">
        <v>32</v>
      </c>
      <c r="O603" s="0" t="s">
        <v>35</v>
      </c>
      <c r="P603" s="0" t="s">
        <v>1323</v>
      </c>
      <c r="Q603" s="0" t="s">
        <v>2626</v>
      </c>
      <c r="R603" s="0" t="s">
        <v>2624</v>
      </c>
      <c r="S603" s="0" t="s">
        <v>32</v>
      </c>
      <c r="T603" s="0">
        <f>HYPERLINK("https://storage.sslt.ae/ItemVariation/08DCF9B0-1EE1-438E-8B36-EC562AA1B585/1FFD8815-8FAC-4245-9A4D-7F6A858473E8.jpg","Variant Image")</f>
      </c>
      <c r="U603" s="0">
        <f>HYPERLINK("https://ec-qa-storage.kldlms.com/Item/08DCF9B0-1EE1-438E-8B36-EC562AA1B585/F70FDC45-23AF-4DAE-9240-E4AE0F4EF756.jpg","Thumbnail Image")</f>
      </c>
      <c r="V603" s="0">
        <f>HYPERLINK("https://ec-qa-storage.kldlms.com/ItemGallery/08DCF9B0-1EE1-438E-8B36-EC562AA1B585/671FF03C-7AD4-4FAF-9DE4-970EE29F9FCE.jpg","Gallery Image ")</f>
      </c>
      <c r="W603" s="0" t="s">
        <v>22</v>
      </c>
      <c r="X603" s="0" t="s">
        <v>2627</v>
      </c>
    </row>
    <row r="604">
      <c r="A604" s="0" t="s">
        <v>2628</v>
      </c>
      <c r="B604" s="0" t="s">
        <v>2628</v>
      </c>
      <c r="C604" s="0" t="s">
        <v>2629</v>
      </c>
      <c r="D604" s="0" t="s">
        <v>27</v>
      </c>
      <c r="E604" s="0" t="s">
        <v>2630</v>
      </c>
      <c r="F604" s="0" t="s">
        <v>2631</v>
      </c>
      <c r="G604" s="0" t="s">
        <v>2628</v>
      </c>
      <c r="H604" s="0" t="s">
        <v>2628</v>
      </c>
      <c r="I604" s="0" t="s">
        <v>2632</v>
      </c>
      <c r="J604" s="0" t="s">
        <v>2632</v>
      </c>
      <c r="K604" s="0" t="s">
        <v>2633</v>
      </c>
      <c r="L604" s="0" t="s">
        <v>32</v>
      </c>
      <c r="M604" s="0" t="s">
        <v>33</v>
      </c>
      <c r="N604" s="0" t="s">
        <v>32</v>
      </c>
      <c r="O604" s="0" t="s">
        <v>35</v>
      </c>
      <c r="P604" s="0" t="s">
        <v>2634</v>
      </c>
      <c r="Q604" s="0" t="s">
        <v>2633</v>
      </c>
      <c r="R604" s="0" t="s">
        <v>2629</v>
      </c>
      <c r="S604" s="0" t="s">
        <v>32</v>
      </c>
      <c r="T604" s="0">
        <f>HYPERLINK("https://storage.sslt.ae/ItemVariation/08DCF9B0-22C1-4956-8BF0-C461070365A2/2EB22C05-C743-4899-BA7D-3696D0D14BB5.jpg","Variant Image")</f>
      </c>
      <c r="U604" s="0">
        <f>HYPERLINK("https://ec-qa-storage.kldlms.com/Item/08DCF9B0-22C1-4956-8BF0-C461070365A2/5671CAA7-6E27-4E93-A71A-00F7F3AB8B03.jpg","Thumbnail Image")</f>
      </c>
      <c r="V604" s="0">
        <f>HYPERLINK("https://ec-qa-storage.kldlms.com/ItemGallery/08DCF9B0-22C1-4956-8BF0-C461070365A2/7E0DC7CF-1A2C-4E35-AB1C-4F31118F8181.jpg","Gallery Image ")</f>
      </c>
      <c r="W604" s="0" t="s">
        <v>22</v>
      </c>
      <c r="X604" s="0" t="s">
        <v>2635</v>
      </c>
    </row>
    <row r="605">
      <c r="A605" s="0" t="s">
        <v>2636</v>
      </c>
      <c r="B605" s="0" t="s">
        <v>2636</v>
      </c>
      <c r="C605" s="0" t="s">
        <v>2637</v>
      </c>
      <c r="D605" s="0" t="s">
        <v>27</v>
      </c>
      <c r="E605" s="0" t="s">
        <v>2630</v>
      </c>
      <c r="F605" s="0" t="s">
        <v>2631</v>
      </c>
      <c r="G605" s="0" t="s">
        <v>2636</v>
      </c>
      <c r="H605" s="0" t="s">
        <v>2636</v>
      </c>
      <c r="I605" s="0" t="s">
        <v>2638</v>
      </c>
      <c r="J605" s="0" t="s">
        <v>2638</v>
      </c>
      <c r="K605" s="0" t="s">
        <v>2639</v>
      </c>
      <c r="L605" s="0" t="s">
        <v>32</v>
      </c>
      <c r="M605" s="0" t="s">
        <v>33</v>
      </c>
      <c r="N605" s="0" t="s">
        <v>32</v>
      </c>
      <c r="O605" s="0" t="s">
        <v>35</v>
      </c>
      <c r="P605" s="0" t="s">
        <v>2640</v>
      </c>
      <c r="Q605" s="0" t="s">
        <v>2639</v>
      </c>
      <c r="R605" s="0" t="s">
        <v>2637</v>
      </c>
      <c r="S605" s="0" t="s">
        <v>32</v>
      </c>
      <c r="T605" s="0">
        <f>HYPERLINK("https://storage.sslt.ae/ItemVariation/08DCF9B0-22D8-4351-8328-3D7F64D575D5/D7E5713B-7EB8-4D10-A054-FC54C9588FBB.jpg","Variant Image")</f>
      </c>
      <c r="U605" s="0">
        <f>HYPERLINK("https://ec-qa-storage.kldlms.com/Item/08DCF9B0-22D8-4351-8328-3D7F64D575D5/618AA52A-8D58-4553-8DB2-EE33E9056855.jpg","Thumbnail Image")</f>
      </c>
      <c r="V605" s="0">
        <f>HYPERLINK("https://ec-qa-storage.kldlms.com/ItemGallery/08DCF9B0-22D8-4351-8328-3D7F64D575D5/68E32B63-C7CA-4B8A-A1C2-DA8B3B3440F4.jpg","Gallery Image ")</f>
      </c>
      <c r="W605" s="0" t="s">
        <v>22</v>
      </c>
      <c r="X605" s="0" t="s">
        <v>2641</v>
      </c>
    </row>
    <row r="606">
      <c r="A606" s="0" t="s">
        <v>2636</v>
      </c>
      <c r="B606" s="0" t="s">
        <v>2636</v>
      </c>
      <c r="C606" s="0" t="s">
        <v>2642</v>
      </c>
      <c r="D606" s="0" t="s">
        <v>27</v>
      </c>
      <c r="E606" s="0" t="s">
        <v>2630</v>
      </c>
      <c r="F606" s="0" t="s">
        <v>2631</v>
      </c>
      <c r="G606" s="0" t="s">
        <v>2636</v>
      </c>
      <c r="H606" s="0" t="s">
        <v>2636</v>
      </c>
      <c r="I606" s="0" t="s">
        <v>2643</v>
      </c>
      <c r="J606" s="0" t="s">
        <v>2643</v>
      </c>
      <c r="K606" s="0" t="s">
        <v>2644</v>
      </c>
      <c r="L606" s="0" t="s">
        <v>32</v>
      </c>
      <c r="M606" s="0" t="s">
        <v>33</v>
      </c>
      <c r="N606" s="0" t="s">
        <v>32</v>
      </c>
      <c r="O606" s="0" t="s">
        <v>35</v>
      </c>
      <c r="P606" s="0" t="s">
        <v>2634</v>
      </c>
      <c r="Q606" s="0" t="s">
        <v>2644</v>
      </c>
      <c r="R606" s="0" t="s">
        <v>2642</v>
      </c>
      <c r="S606" s="0" t="s">
        <v>32</v>
      </c>
      <c r="T606" s="0">
        <f>HYPERLINK("https://storage.sslt.ae/ItemVariation/08DCF9B0-231C-420E-8510-1C543CF4D799/813659DA-9B93-4FA6-8024-AAC28DA7204B.jpg","Variant Image")</f>
      </c>
      <c r="U606" s="0">
        <f>HYPERLINK("https://ec-qa-storage.kldlms.com/Item/08DCF9B0-231C-420E-8510-1C543CF4D799/5E5F635D-FDE3-47D6-A671-4F0A3AED80EA.jpg","Thumbnail Image")</f>
      </c>
      <c r="V606" s="0">
        <f>HYPERLINK("https://ec-qa-storage.kldlms.com/ItemGallery/08DCF9B0-231C-420E-8510-1C543CF4D799/0857D3A6-72AE-446E-B2B4-4282ACBCEBAB.jpg","Gallery Image ")</f>
      </c>
      <c r="W606" s="0" t="s">
        <v>22</v>
      </c>
      <c r="X606" s="0" t="s">
        <v>2645</v>
      </c>
    </row>
    <row r="607">
      <c r="A607" s="0" t="s">
        <v>2646</v>
      </c>
      <c r="B607" s="0" t="s">
        <v>2646</v>
      </c>
      <c r="C607" s="0" t="s">
        <v>2647</v>
      </c>
      <c r="D607" s="0" t="s">
        <v>27</v>
      </c>
      <c r="E607" s="0" t="s">
        <v>2630</v>
      </c>
      <c r="F607" s="0" t="s">
        <v>2631</v>
      </c>
      <c r="G607" s="0" t="s">
        <v>2646</v>
      </c>
      <c r="H607" s="0" t="s">
        <v>2646</v>
      </c>
      <c r="I607" s="0" t="s">
        <v>2648</v>
      </c>
      <c r="J607" s="0" t="s">
        <v>2648</v>
      </c>
      <c r="K607" s="0" t="s">
        <v>2649</v>
      </c>
      <c r="L607" s="0" t="s">
        <v>32</v>
      </c>
      <c r="M607" s="0" t="s">
        <v>33</v>
      </c>
      <c r="N607" s="0" t="s">
        <v>32</v>
      </c>
      <c r="O607" s="0" t="s">
        <v>35</v>
      </c>
      <c r="P607" s="0" t="s">
        <v>2650</v>
      </c>
      <c r="Q607" s="0" t="s">
        <v>2649</v>
      </c>
      <c r="R607" s="0" t="s">
        <v>2647</v>
      </c>
      <c r="S607" s="0" t="s">
        <v>32</v>
      </c>
      <c r="T607" s="0">
        <f>HYPERLINK("https://storage.sslt.ae/ItemVariation/08DCF9B0-232C-4314-8AB0-23F4EAD14EA2/70F0EDA2-E0F4-48CA-9579-DAA81B158688.jpg","Variant Image")</f>
      </c>
      <c r="U607" s="0">
        <f>HYPERLINK("https://ec-qa-storage.kldlms.com/Item/08DCF9B0-232C-4314-8AB0-23F4EAD14EA2/4FC26741-2813-4151-A6CA-BEAF1D6995E4.jpg","Thumbnail Image")</f>
      </c>
      <c r="V607" s="0">
        <f>HYPERLINK("https://ec-qa-storage.kldlms.com/ItemGallery/08DCF9B0-232C-4314-8AB0-23F4EAD14EA2/6C289B54-5D7E-4714-901C-A42E0AA7BFE7.jpg","Gallery Image ")</f>
      </c>
      <c r="W607" s="0" t="s">
        <v>22</v>
      </c>
      <c r="X607" s="0" t="s">
        <v>2651</v>
      </c>
    </row>
    <row r="608">
      <c r="A608" s="0" t="s">
        <v>2652</v>
      </c>
      <c r="B608" s="0" t="s">
        <v>2652</v>
      </c>
      <c r="C608" s="0" t="s">
        <v>2653</v>
      </c>
      <c r="D608" s="0" t="s">
        <v>27</v>
      </c>
      <c r="E608" s="0" t="s">
        <v>2654</v>
      </c>
      <c r="F608" s="0" t="s">
        <v>2631</v>
      </c>
      <c r="G608" s="0" t="s">
        <v>2652</v>
      </c>
      <c r="H608" s="0" t="s">
        <v>2652</v>
      </c>
      <c r="I608" s="0" t="s">
        <v>2655</v>
      </c>
      <c r="J608" s="0" t="s">
        <v>2655</v>
      </c>
      <c r="K608" s="0" t="s">
        <v>2656</v>
      </c>
      <c r="L608" s="0" t="s">
        <v>32</v>
      </c>
      <c r="M608" s="0" t="s">
        <v>33</v>
      </c>
      <c r="N608" s="0" t="s">
        <v>337</v>
      </c>
      <c r="O608" s="0" t="s">
        <v>35</v>
      </c>
      <c r="P608" s="0" t="s">
        <v>2650</v>
      </c>
      <c r="Q608" s="0" t="s">
        <v>2657</v>
      </c>
      <c r="R608" s="0" t="s">
        <v>2653</v>
      </c>
      <c r="S608" s="0" t="s">
        <v>337</v>
      </c>
      <c r="T608" s="0">
        <f>HYPERLINK("https://storage.sslt.ae/ItemVariation/08DCF9B0-2783-4FF3-866C-49CC5012D74A/873F2F29-72CF-449E-AFE0-60EA4E21C3A7.jpg","Variant Image")</f>
      </c>
      <c r="U608" s="0">
        <f>HYPERLINK("https://ec-qa-storage.kldlms.com/Item/08DCF9B0-2783-4FF3-866C-49CC5012D74A/5AF39A14-21E8-4F07-98F1-B523B7D43BAA.jpg","Thumbnail Image")</f>
      </c>
      <c r="V608" s="0">
        <f>HYPERLINK("https://ec-qa-storage.kldlms.com/ItemGallery/08DCF9B0-2783-4FF3-866C-49CC5012D74A/473E1FB3-8CDD-4C3A-AAE7-37162F0E925C.jpg","Gallery Image ")</f>
      </c>
      <c r="W608" s="0" t="s">
        <v>22</v>
      </c>
      <c r="X608" s="0" t="s">
        <v>2658</v>
      </c>
    </row>
    <row r="609">
      <c r="A609" s="0" t="s">
        <v>2659</v>
      </c>
      <c r="B609" s="0" t="s">
        <v>2659</v>
      </c>
      <c r="C609" s="0" t="s">
        <v>2660</v>
      </c>
      <c r="D609" s="0" t="s">
        <v>27</v>
      </c>
      <c r="E609" s="0" t="s">
        <v>2654</v>
      </c>
      <c r="F609" s="0" t="s">
        <v>2631</v>
      </c>
      <c r="G609" s="0" t="s">
        <v>2659</v>
      </c>
      <c r="H609" s="0" t="s">
        <v>2659</v>
      </c>
      <c r="I609" s="0" t="s">
        <v>2661</v>
      </c>
      <c r="J609" s="0" t="s">
        <v>2661</v>
      </c>
      <c r="K609" s="0" t="s">
        <v>2662</v>
      </c>
      <c r="L609" s="0" t="s">
        <v>32</v>
      </c>
      <c r="M609" s="0" t="s">
        <v>33</v>
      </c>
      <c r="N609" s="0" t="s">
        <v>100</v>
      </c>
      <c r="O609" s="0" t="s">
        <v>35</v>
      </c>
      <c r="P609" s="0" t="s">
        <v>2663</v>
      </c>
      <c r="Q609" s="0" t="s">
        <v>2664</v>
      </c>
      <c r="R609" s="0" t="s">
        <v>2660</v>
      </c>
      <c r="S609" s="0" t="s">
        <v>100</v>
      </c>
      <c r="T609" s="0">
        <f>HYPERLINK("https://storage.sslt.ae/ItemVariation/08DCF9B0-2799-4F7C-89E2-E97765FDCDC6/2640AA93-8050-4E5F-9B80-6DEF19974684.jpg","Variant Image")</f>
      </c>
      <c r="U609" s="0">
        <f>HYPERLINK("https://ec-qa-storage.kldlms.com/Item/08DCF9B0-2799-4F7C-89E2-E97765FDCDC6/A606AADC-E368-4BA6-AE66-78083D1AEBBC.jpg","Thumbnail Image")</f>
      </c>
      <c r="V609" s="0">
        <f>HYPERLINK("https://ec-qa-storage.kldlms.com/ItemGallery/08DCF9B0-2799-4F7C-89E2-E97765FDCDC6/60307340-BE5E-4438-A5DE-F81E2642BA6F.jpg","Gallery Image ")</f>
      </c>
      <c r="W609" s="0" t="s">
        <v>22</v>
      </c>
      <c r="X609" s="0" t="s">
        <v>2665</v>
      </c>
    </row>
    <row r="610">
      <c r="A610" s="0" t="s">
        <v>2659</v>
      </c>
      <c r="B610" s="0" t="s">
        <v>2659</v>
      </c>
      <c r="C610" s="0" t="s">
        <v>2666</v>
      </c>
      <c r="D610" s="0" t="s">
        <v>27</v>
      </c>
      <c r="E610" s="0" t="s">
        <v>2654</v>
      </c>
      <c r="F610" s="0" t="s">
        <v>2631</v>
      </c>
      <c r="G610" s="0" t="s">
        <v>2659</v>
      </c>
      <c r="H610" s="0" t="s">
        <v>2659</v>
      </c>
      <c r="I610" s="0" t="s">
        <v>2667</v>
      </c>
      <c r="J610" s="0" t="s">
        <v>2667</v>
      </c>
      <c r="K610" s="0" t="s">
        <v>2668</v>
      </c>
      <c r="L610" s="0" t="s">
        <v>32</v>
      </c>
      <c r="M610" s="0" t="s">
        <v>33</v>
      </c>
      <c r="N610" s="0" t="s">
        <v>276</v>
      </c>
      <c r="O610" s="0" t="s">
        <v>35</v>
      </c>
      <c r="P610" s="0" t="s">
        <v>932</v>
      </c>
      <c r="Q610" s="0" t="s">
        <v>2669</v>
      </c>
      <c r="R610" s="0" t="s">
        <v>2666</v>
      </c>
      <c r="S610" s="0" t="s">
        <v>276</v>
      </c>
      <c r="T610" s="0">
        <f>HYPERLINK("https://storage.sslt.ae/ItemVariation/08DCF9B0-27AF-4E3F-8652-06E21D1DF545/A1D146EB-8C49-4098-A43A-A499D6B5F684.jpg","Variant Image")</f>
      </c>
      <c r="U610" s="0">
        <f>HYPERLINK("https://ec-qa-storage.kldlms.com/Item/08DCF9B0-27AF-4E3F-8652-06E21D1DF545/F0B20160-E8E6-453F-86F1-45E4F76AB69C.jpg","Thumbnail Image")</f>
      </c>
      <c r="V610" s="0">
        <f>HYPERLINK("https://ec-qa-storage.kldlms.com/ItemGallery/08DCF9B0-27AF-4E3F-8652-06E21D1DF545/1E45B6BC-3E9E-4588-A3D0-7010EC3D6CEF.jpg","Gallery Image ")</f>
      </c>
      <c r="W610" s="0" t="s">
        <v>22</v>
      </c>
      <c r="X610" s="0" t="s">
        <v>2670</v>
      </c>
    </row>
    <row r="611">
      <c r="A611" s="0" t="s">
        <v>2659</v>
      </c>
      <c r="B611" s="0" t="s">
        <v>2659</v>
      </c>
      <c r="C611" s="0" t="s">
        <v>2671</v>
      </c>
      <c r="D611" s="0" t="s">
        <v>27</v>
      </c>
      <c r="E611" s="0" t="s">
        <v>2654</v>
      </c>
      <c r="F611" s="0" t="s">
        <v>2631</v>
      </c>
      <c r="G611" s="0" t="s">
        <v>2659</v>
      </c>
      <c r="H611" s="0" t="s">
        <v>2659</v>
      </c>
      <c r="I611" s="0" t="s">
        <v>2672</v>
      </c>
      <c r="J611" s="0" t="s">
        <v>2672</v>
      </c>
      <c r="K611" s="0" t="s">
        <v>2673</v>
      </c>
      <c r="L611" s="0" t="s">
        <v>32</v>
      </c>
      <c r="M611" s="0" t="s">
        <v>33</v>
      </c>
      <c r="N611" s="0" t="s">
        <v>404</v>
      </c>
      <c r="O611" s="0" t="s">
        <v>35</v>
      </c>
      <c r="P611" s="0" t="s">
        <v>923</v>
      </c>
      <c r="Q611" s="0" t="s">
        <v>2674</v>
      </c>
      <c r="R611" s="0" t="s">
        <v>2671</v>
      </c>
      <c r="S611" s="0" t="s">
        <v>404</v>
      </c>
      <c r="T611" s="0">
        <f>HYPERLINK("https://storage.sslt.ae/ItemVariation/08DCF9B0-27CC-4F5D-8177-591952AB0799/1C5B3F61-04F8-4504-81FA-6E7EF0261C1A.jpg","Variant Image")</f>
      </c>
      <c r="U611" s="0">
        <f>HYPERLINK("https://ec-qa-storage.kldlms.com/Item/08DCF9B0-27CC-4F5D-8177-591952AB0799/7485A7BB-1255-415C-A43C-F525A3662AF4.jpg","Thumbnail Image")</f>
      </c>
      <c r="V611" s="0">
        <f>HYPERLINK("https://ec-qa-storage.kldlms.com/ItemGallery/08DCF9B0-27CC-4F5D-8177-591952AB0799/198E5FF9-B70F-4672-AC0A-92F6A7994B6C.jpg","Gallery Image ")</f>
      </c>
      <c r="W611" s="0" t="s">
        <v>22</v>
      </c>
      <c r="X611" s="0" t="s">
        <v>2675</v>
      </c>
    </row>
    <row r="612">
      <c r="A612" s="0" t="s">
        <v>2659</v>
      </c>
      <c r="B612" s="0" t="s">
        <v>2659</v>
      </c>
      <c r="C612" s="0" t="s">
        <v>2676</v>
      </c>
      <c r="D612" s="0" t="s">
        <v>27</v>
      </c>
      <c r="E612" s="0" t="s">
        <v>2654</v>
      </c>
      <c r="F612" s="0" t="s">
        <v>2631</v>
      </c>
      <c r="G612" s="0" t="s">
        <v>2659</v>
      </c>
      <c r="H612" s="0" t="s">
        <v>2659</v>
      </c>
      <c r="I612" s="0" t="s">
        <v>2677</v>
      </c>
      <c r="J612" s="0" t="s">
        <v>2677</v>
      </c>
      <c r="K612" s="0" t="s">
        <v>2678</v>
      </c>
      <c r="L612" s="0" t="s">
        <v>32</v>
      </c>
      <c r="M612" s="0" t="s">
        <v>33</v>
      </c>
      <c r="N612" s="0" t="s">
        <v>280</v>
      </c>
      <c r="O612" s="0" t="s">
        <v>35</v>
      </c>
      <c r="P612" s="0" t="s">
        <v>2663</v>
      </c>
      <c r="Q612" s="0" t="s">
        <v>2679</v>
      </c>
      <c r="R612" s="0" t="s">
        <v>2676</v>
      </c>
      <c r="S612" s="0" t="s">
        <v>280</v>
      </c>
      <c r="T612" s="0">
        <f>HYPERLINK("https://storage.sslt.ae/ItemVariation/08DCF9B0-27E2-41B2-88FB-4279C5C9D540/9A76AE64-0E26-495C-B6AD-80F85B44E7EC.jpg","Variant Image")</f>
      </c>
      <c r="U612" s="0">
        <f>HYPERLINK("https://ec-qa-storage.kldlms.com/Item/08DCF9B0-27E2-41B2-88FB-4279C5C9D540/EB899F94-C8CB-4208-9E5D-33E59D818690.jpg","Thumbnail Image")</f>
      </c>
      <c r="V612" s="0">
        <f>HYPERLINK("https://ec-qa-storage.kldlms.com/ItemGallery/08DCF9B0-27E2-41B2-88FB-4279C5C9D540/6547D37F-1117-4340-9D2E-86FAAEAD3B1C.jpg","Gallery Image ")</f>
      </c>
      <c r="W612" s="0" t="s">
        <v>22</v>
      </c>
      <c r="X612" s="0" t="s">
        <v>2680</v>
      </c>
    </row>
    <row r="613">
      <c r="A613" s="0" t="s">
        <v>2659</v>
      </c>
      <c r="B613" s="0" t="s">
        <v>2659</v>
      </c>
      <c r="C613" s="0" t="s">
        <v>2681</v>
      </c>
      <c r="D613" s="0" t="s">
        <v>27</v>
      </c>
      <c r="E613" s="0" t="s">
        <v>2654</v>
      </c>
      <c r="F613" s="0" t="s">
        <v>2631</v>
      </c>
      <c r="G613" s="0" t="s">
        <v>2659</v>
      </c>
      <c r="H613" s="0" t="s">
        <v>2659</v>
      </c>
      <c r="I613" s="0" t="s">
        <v>2682</v>
      </c>
      <c r="J613" s="0" t="s">
        <v>2682</v>
      </c>
      <c r="K613" s="0" t="s">
        <v>2683</v>
      </c>
      <c r="L613" s="0" t="s">
        <v>32</v>
      </c>
      <c r="M613" s="0" t="s">
        <v>33</v>
      </c>
      <c r="N613" s="0" t="s">
        <v>100</v>
      </c>
      <c r="O613" s="0" t="s">
        <v>35</v>
      </c>
      <c r="P613" s="0" t="s">
        <v>932</v>
      </c>
      <c r="Q613" s="0" t="s">
        <v>2684</v>
      </c>
      <c r="R613" s="0" t="s">
        <v>2681</v>
      </c>
      <c r="S613" s="0" t="s">
        <v>100</v>
      </c>
      <c r="T613" s="0">
        <f>HYPERLINK("https://storage.sslt.ae/ItemVariation/08DCF9B0-27F1-4B65-820C-EBB36FF8B776/3173EC47-F61E-403A-BF66-645F96FDCE6C.jpg","Variant Image")</f>
      </c>
      <c r="U613" s="0">
        <f>HYPERLINK("https://ec-qa-storage.kldlms.com/Item/08DCF9B0-27F1-4B65-820C-EBB36FF8B776/5AD959B4-74FA-43DC-A684-4CB75A83C63D.jpg","Thumbnail Image")</f>
      </c>
      <c r="V613" s="0">
        <f>HYPERLINK("https://ec-qa-storage.kldlms.com/ItemGallery/08DCF9B0-27F1-4B65-820C-EBB36FF8B776/CCDCA7D1-7788-47C4-A049-21D8A7F26D8A.jpg","Gallery Image ")</f>
      </c>
      <c r="W613" s="0" t="s">
        <v>22</v>
      </c>
      <c r="X613" s="0" t="s">
        <v>2685</v>
      </c>
    </row>
    <row r="614">
      <c r="A614" s="0" t="s">
        <v>2659</v>
      </c>
      <c r="B614" s="0" t="s">
        <v>2659</v>
      </c>
      <c r="C614" s="0" t="s">
        <v>2686</v>
      </c>
      <c r="D614" s="0" t="s">
        <v>27</v>
      </c>
      <c r="E614" s="0" t="s">
        <v>2654</v>
      </c>
      <c r="F614" s="0" t="s">
        <v>2631</v>
      </c>
      <c r="G614" s="0" t="s">
        <v>2659</v>
      </c>
      <c r="H614" s="0" t="s">
        <v>2659</v>
      </c>
      <c r="I614" s="0" t="s">
        <v>2687</v>
      </c>
      <c r="J614" s="0" t="s">
        <v>2687</v>
      </c>
      <c r="K614" s="0" t="s">
        <v>2678</v>
      </c>
      <c r="L614" s="0" t="s">
        <v>32</v>
      </c>
      <c r="M614" s="0" t="s">
        <v>33</v>
      </c>
      <c r="N614" s="0" t="s">
        <v>164</v>
      </c>
      <c r="O614" s="0" t="s">
        <v>35</v>
      </c>
      <c r="P614" s="0" t="s">
        <v>923</v>
      </c>
      <c r="Q614" s="0" t="s">
        <v>2679</v>
      </c>
      <c r="R614" s="0" t="s">
        <v>2686</v>
      </c>
      <c r="S614" s="0" t="s">
        <v>164</v>
      </c>
      <c r="T614" s="0">
        <f>HYPERLINK("https://storage.sslt.ae/ItemVariation/08DCF9B0-2806-48ED-8B85-DC374B496028/7B4BACDD-DFAA-43B4-B7E0-4C76BB546F06.jpg","Variant Image")</f>
      </c>
      <c r="U614" s="0">
        <f>HYPERLINK("https://ec-qa-storage.kldlms.com/Item/08DCF9B0-2806-48ED-8B85-DC374B496028/8278D5B8-9D61-4EBD-B857-C7459846F1C1.jpg","Thumbnail Image")</f>
      </c>
      <c r="V614" s="0">
        <f>HYPERLINK("https://ec-qa-storage.kldlms.com/ItemGallery/08DCF9B0-2806-48ED-8B85-DC374B496028/EC29DFDB-E02D-4CAF-8633-4A9B70D45B4A.jpg","Gallery Image ")</f>
      </c>
      <c r="W614" s="0" t="s">
        <v>22</v>
      </c>
      <c r="X614" s="0" t="s">
        <v>2688</v>
      </c>
    </row>
    <row r="615">
      <c r="A615" s="0" t="s">
        <v>2659</v>
      </c>
      <c r="B615" s="0" t="s">
        <v>2659</v>
      </c>
      <c r="C615" s="0" t="s">
        <v>975</v>
      </c>
      <c r="D615" s="0" t="s">
        <v>27</v>
      </c>
      <c r="E615" s="0" t="s">
        <v>2654</v>
      </c>
      <c r="F615" s="0" t="s">
        <v>2631</v>
      </c>
      <c r="G615" s="0" t="s">
        <v>2659</v>
      </c>
      <c r="H615" s="0" t="s">
        <v>2659</v>
      </c>
      <c r="I615" s="0" t="s">
        <v>2689</v>
      </c>
      <c r="J615" s="0" t="s">
        <v>2689</v>
      </c>
      <c r="K615" s="0" t="s">
        <v>108</v>
      </c>
      <c r="L615" s="0" t="s">
        <v>32</v>
      </c>
      <c r="M615" s="0" t="s">
        <v>33</v>
      </c>
      <c r="N615" s="0" t="s">
        <v>202</v>
      </c>
      <c r="O615" s="0" t="s">
        <v>35</v>
      </c>
      <c r="P615" s="0" t="s">
        <v>932</v>
      </c>
      <c r="Q615" s="0" t="s">
        <v>960</v>
      </c>
      <c r="R615" s="0" t="s">
        <v>975</v>
      </c>
      <c r="S615" s="0" t="s">
        <v>202</v>
      </c>
      <c r="T615" s="0">
        <f>HYPERLINK("https://storage.sslt.ae/ItemVariation/08DCF9B0-2820-4E0C-82EE-80E7735CE11D/04CE1156-1D47-4888-9E85-DF15EFBFE995.jpg","Variant Image")</f>
      </c>
      <c r="U615" s="0">
        <f>HYPERLINK("https://ec-qa-storage.kldlms.com/Item/08DCF9B0-2820-4E0C-82EE-80E7735CE11D/8D82AE12-020C-432D-9534-4F18D8367F29.jpg","Thumbnail Image")</f>
      </c>
      <c r="V615" s="0">
        <f>HYPERLINK("https://ec-qa-storage.kldlms.com/ItemGallery/08DCF9B0-2820-4E0C-82EE-80E7735CE11D/8400D640-206C-4166-AA1E-89FBADB5BB76.jpg","Gallery Image ")</f>
      </c>
      <c r="W615" s="0" t="s">
        <v>22</v>
      </c>
      <c r="X615" s="0" t="s">
        <v>976</v>
      </c>
    </row>
    <row r="616">
      <c r="A616" s="0" t="s">
        <v>2659</v>
      </c>
      <c r="B616" s="0" t="s">
        <v>2659</v>
      </c>
      <c r="C616" s="0" t="s">
        <v>978</v>
      </c>
      <c r="D616" s="0" t="s">
        <v>27</v>
      </c>
      <c r="E616" s="0" t="s">
        <v>2654</v>
      </c>
      <c r="F616" s="0" t="s">
        <v>2631</v>
      </c>
      <c r="G616" s="0" t="s">
        <v>2659</v>
      </c>
      <c r="H616" s="0" t="s">
        <v>2659</v>
      </c>
      <c r="I616" s="0" t="s">
        <v>2690</v>
      </c>
      <c r="J616" s="0" t="s">
        <v>2690</v>
      </c>
      <c r="K616" s="0" t="s">
        <v>2691</v>
      </c>
      <c r="L616" s="0" t="s">
        <v>32</v>
      </c>
      <c r="M616" s="0" t="s">
        <v>33</v>
      </c>
      <c r="N616" s="0" t="s">
        <v>100</v>
      </c>
      <c r="O616" s="0" t="s">
        <v>35</v>
      </c>
      <c r="P616" s="0" t="s">
        <v>923</v>
      </c>
      <c r="Q616" s="0" t="s">
        <v>977</v>
      </c>
      <c r="R616" s="0" t="s">
        <v>978</v>
      </c>
      <c r="S616" s="0" t="s">
        <v>100</v>
      </c>
      <c r="T616" s="0">
        <f>HYPERLINK("https://storage.sslt.ae/ItemVariation/08DCF9B0-2880-4013-86A8-BED1E9125788/1CF3849C-1B49-4246-AF48-F7C224B73DBC.jpg","Variant Image")</f>
      </c>
      <c r="U616" s="0">
        <f>HYPERLINK("https://ec-qa-storage.kldlms.com/Item/08DCF9B0-2880-4013-86A8-BED1E9125788/C9FBCF35-9166-4836-B163-8E115E6CE84B.jpg","Thumbnail Image")</f>
      </c>
      <c r="V616" s="0">
        <f>HYPERLINK("https://ec-qa-storage.kldlms.com/ItemGallery/08DCF9B0-2880-4013-86A8-BED1E9125788/F5BDE360-2DB6-4356-82E1-68B44B728B19.jpg","Gallery Image ")</f>
      </c>
      <c r="W616" s="0" t="s">
        <v>22</v>
      </c>
      <c r="X616" s="0" t="s">
        <v>979</v>
      </c>
    </row>
    <row r="617">
      <c r="A617" s="0" t="s">
        <v>2659</v>
      </c>
      <c r="B617" s="0" t="s">
        <v>2659</v>
      </c>
      <c r="C617" s="0" t="s">
        <v>969</v>
      </c>
      <c r="D617" s="0" t="s">
        <v>27</v>
      </c>
      <c r="E617" s="0" t="s">
        <v>2654</v>
      </c>
      <c r="F617" s="0" t="s">
        <v>2631</v>
      </c>
      <c r="G617" s="0" t="s">
        <v>2659</v>
      </c>
      <c r="H617" s="0" t="s">
        <v>2659</v>
      </c>
      <c r="I617" s="0" t="s">
        <v>2692</v>
      </c>
      <c r="J617" s="0" t="s">
        <v>2692</v>
      </c>
      <c r="K617" s="0" t="s">
        <v>2693</v>
      </c>
      <c r="L617" s="0" t="s">
        <v>32</v>
      </c>
      <c r="M617" s="0" t="s">
        <v>33</v>
      </c>
      <c r="N617" s="0" t="s">
        <v>164</v>
      </c>
      <c r="O617" s="0" t="s">
        <v>35</v>
      </c>
      <c r="P617" s="0" t="s">
        <v>2663</v>
      </c>
      <c r="Q617" s="0" t="s">
        <v>968</v>
      </c>
      <c r="R617" s="0" t="s">
        <v>969</v>
      </c>
      <c r="S617" s="0" t="s">
        <v>164</v>
      </c>
      <c r="T617" s="0">
        <f>HYPERLINK("https://storage.sslt.ae/ItemVariation/08DCF9B0-2890-4162-810B-B882D5403B87/84D30EEA-7290-4ACF-AF1A-5B9897484664.jpg","Variant Image")</f>
      </c>
      <c r="U617" s="0">
        <f>HYPERLINK("https://ec-qa-storage.kldlms.com/Item/08DCF9B0-2890-4162-810B-B882D5403B87/FA7D6D0E-7D1E-4037-9518-866DCD3F2BAE.jpg","Thumbnail Image")</f>
      </c>
      <c r="V617" s="0">
        <f>HYPERLINK("https://ec-qa-storage.kldlms.com/ItemGallery/08DCF9B0-2890-4162-810B-B882D5403B87/D39E0163-71C9-4216-A094-CCD12DA195F2.jpg","Gallery Image ")</f>
      </c>
      <c r="W617" s="0" t="s">
        <v>22</v>
      </c>
      <c r="X617" s="0" t="s">
        <v>970</v>
      </c>
    </row>
    <row r="618">
      <c r="A618" s="0" t="s">
        <v>2659</v>
      </c>
      <c r="B618" s="0" t="s">
        <v>2659</v>
      </c>
      <c r="C618" s="0" t="s">
        <v>964</v>
      </c>
      <c r="D618" s="0" t="s">
        <v>27</v>
      </c>
      <c r="E618" s="0" t="s">
        <v>2654</v>
      </c>
      <c r="F618" s="0" t="s">
        <v>2631</v>
      </c>
      <c r="G618" s="0" t="s">
        <v>2659</v>
      </c>
      <c r="H618" s="0" t="s">
        <v>2659</v>
      </c>
      <c r="I618" s="0" t="s">
        <v>2694</v>
      </c>
      <c r="J618" s="0" t="s">
        <v>2694</v>
      </c>
      <c r="K618" s="0" t="s">
        <v>2695</v>
      </c>
      <c r="L618" s="0" t="s">
        <v>32</v>
      </c>
      <c r="M618" s="0" t="s">
        <v>33</v>
      </c>
      <c r="N618" s="0" t="s">
        <v>404</v>
      </c>
      <c r="O618" s="0" t="s">
        <v>35</v>
      </c>
      <c r="P618" s="0" t="s">
        <v>923</v>
      </c>
      <c r="Q618" s="0" t="s">
        <v>963</v>
      </c>
      <c r="R618" s="0" t="s">
        <v>964</v>
      </c>
      <c r="S618" s="0" t="s">
        <v>404</v>
      </c>
      <c r="T618" s="0">
        <f>HYPERLINK("https://storage.sslt.ae/ItemVariation/08DCF9B0-28AA-4F68-8EA2-3B3999C85CD4/0FEB0D88-3615-457F-8D0F-F327C86924CE.jpg","Variant Image")</f>
      </c>
      <c r="U618" s="0">
        <f>HYPERLINK("https://ec-qa-storage.kldlms.com/Item/08DCF9B0-28AA-4F68-8EA2-3B3999C85CD4/A890FDD6-49E9-44EB-9997-998A2477A518.jpg","Thumbnail Image")</f>
      </c>
      <c r="V618" s="0">
        <f>HYPERLINK("https://ec-qa-storage.kldlms.com/ItemGallery/08DCF9B0-28AA-4F68-8EA2-3B3999C85CD4/FAC466C4-EC40-41FB-855C-AA9F2B8C3052.jpg","Gallery Image ")</f>
      </c>
      <c r="W618" s="0" t="s">
        <v>22</v>
      </c>
      <c r="X618" s="0" t="s">
        <v>965</v>
      </c>
    </row>
    <row r="619">
      <c r="A619" s="0" t="s">
        <v>2659</v>
      </c>
      <c r="B619" s="0" t="s">
        <v>2659</v>
      </c>
      <c r="C619" s="0" t="s">
        <v>2696</v>
      </c>
      <c r="D619" s="0" t="s">
        <v>27</v>
      </c>
      <c r="E619" s="0" t="s">
        <v>2654</v>
      </c>
      <c r="F619" s="0" t="s">
        <v>2631</v>
      </c>
      <c r="G619" s="0" t="s">
        <v>2659</v>
      </c>
      <c r="H619" s="0" t="s">
        <v>2659</v>
      </c>
      <c r="I619" s="0" t="s">
        <v>2697</v>
      </c>
      <c r="J619" s="0" t="s">
        <v>2697</v>
      </c>
      <c r="K619" s="0" t="s">
        <v>2698</v>
      </c>
      <c r="L619" s="0" t="s">
        <v>32</v>
      </c>
      <c r="M619" s="0" t="s">
        <v>33</v>
      </c>
      <c r="N619" s="0" t="s">
        <v>164</v>
      </c>
      <c r="O619" s="0" t="s">
        <v>35</v>
      </c>
      <c r="P619" s="0" t="s">
        <v>966</v>
      </c>
      <c r="Q619" s="0" t="s">
        <v>2699</v>
      </c>
      <c r="R619" s="0" t="s">
        <v>2696</v>
      </c>
      <c r="S619" s="0" t="s">
        <v>164</v>
      </c>
      <c r="T619" s="0">
        <f>HYPERLINK("https://storage.sslt.ae/ItemVariation/08DCF9B0-28BF-487A-86A6-0DF0AB90661C/AFF0FA04-E35F-4A72-8B1E-3E079E62D7B1.jpg","Variant Image")</f>
      </c>
      <c r="U619" s="0">
        <f>HYPERLINK("https://ec-qa-storage.kldlms.com/Item/08DCF9B0-28BF-487A-86A6-0DF0AB90661C/177918BA-1071-4C3B-A11F-1360E609DF49.jpg","Thumbnail Image")</f>
      </c>
      <c r="V619" s="0">
        <f>HYPERLINK("https://ec-qa-storage.kldlms.com/ItemGallery/08DCF9B0-28BF-487A-86A6-0DF0AB90661C/F4E03C40-E3BF-4FE2-B860-D73666169A3B.jpg","Gallery Image ")</f>
      </c>
      <c r="W619" s="0" t="s">
        <v>22</v>
      </c>
      <c r="X619" s="0" t="s">
        <v>2700</v>
      </c>
    </row>
    <row r="620">
      <c r="A620" s="0" t="s">
        <v>2659</v>
      </c>
      <c r="B620" s="0" t="s">
        <v>2659</v>
      </c>
      <c r="C620" s="0" t="s">
        <v>2701</v>
      </c>
      <c r="D620" s="0" t="s">
        <v>27</v>
      </c>
      <c r="E620" s="0" t="s">
        <v>2654</v>
      </c>
      <c r="F620" s="0" t="s">
        <v>2631</v>
      </c>
      <c r="G620" s="0" t="s">
        <v>2659</v>
      </c>
      <c r="H620" s="0" t="s">
        <v>2659</v>
      </c>
      <c r="I620" s="0" t="s">
        <v>2702</v>
      </c>
      <c r="J620" s="0" t="s">
        <v>2702</v>
      </c>
      <c r="K620" s="0" t="s">
        <v>2678</v>
      </c>
      <c r="L620" s="0" t="s">
        <v>32</v>
      </c>
      <c r="M620" s="0" t="s">
        <v>33</v>
      </c>
      <c r="N620" s="0" t="s">
        <v>349</v>
      </c>
      <c r="O620" s="0" t="s">
        <v>35</v>
      </c>
      <c r="P620" s="0" t="s">
        <v>966</v>
      </c>
      <c r="Q620" s="0" t="s">
        <v>2679</v>
      </c>
      <c r="R620" s="0" t="s">
        <v>2701</v>
      </c>
      <c r="S620" s="0" t="s">
        <v>349</v>
      </c>
      <c r="T620" s="0">
        <f>HYPERLINK("https://storage.sslt.ae/ItemVariation/08DCF9B0-28CF-4AE3-8279-972FEB62E000/CA0DA956-7E9F-48B2-9925-E299317FA1CA.jpg","Variant Image")</f>
      </c>
      <c r="U620" s="0">
        <f>HYPERLINK("https://ec-qa-storage.kldlms.com/Item/08DCF9B0-28CF-4AE3-8279-972FEB62E000/3C555A9A-091F-4CB3-823F-A77581C1738F.jpg","Thumbnail Image")</f>
      </c>
      <c r="V620" s="0">
        <f>HYPERLINK("https://ec-qa-storage.kldlms.com/ItemGallery/08DCF9B0-28CF-4AE3-8279-972FEB62E000/76E9F023-3F08-45B2-808B-96B6AB0F1E9A.jpg","Gallery Image ")</f>
      </c>
      <c r="W620" s="0" t="s">
        <v>22</v>
      </c>
      <c r="X620" s="0" t="s">
        <v>2703</v>
      </c>
    </row>
    <row r="621">
      <c r="A621" s="0" t="s">
        <v>2659</v>
      </c>
      <c r="B621" s="0" t="s">
        <v>2659</v>
      </c>
      <c r="C621" s="0" t="s">
        <v>2704</v>
      </c>
      <c r="D621" s="0" t="s">
        <v>27</v>
      </c>
      <c r="E621" s="0" t="s">
        <v>2654</v>
      </c>
      <c r="F621" s="0" t="s">
        <v>2631</v>
      </c>
      <c r="G621" s="0" t="s">
        <v>2659</v>
      </c>
      <c r="H621" s="0" t="s">
        <v>2659</v>
      </c>
      <c r="I621" s="0" t="s">
        <v>2705</v>
      </c>
      <c r="J621" s="0" t="s">
        <v>2705</v>
      </c>
      <c r="K621" s="0" t="s">
        <v>2668</v>
      </c>
      <c r="L621" s="0" t="s">
        <v>32</v>
      </c>
      <c r="M621" s="0" t="s">
        <v>33</v>
      </c>
      <c r="N621" s="0" t="s">
        <v>164</v>
      </c>
      <c r="O621" s="0" t="s">
        <v>35</v>
      </c>
      <c r="P621" s="0" t="s">
        <v>966</v>
      </c>
      <c r="Q621" s="0" t="s">
        <v>2669</v>
      </c>
      <c r="R621" s="0" t="s">
        <v>2704</v>
      </c>
      <c r="S621" s="0" t="s">
        <v>164</v>
      </c>
      <c r="T621" s="0">
        <f>HYPERLINK("https://storage.sslt.ae/ItemVariation/08DCF9B0-28E4-4D2C-8F54-D46165D64BC9/ACDD61D3-FD15-4A49-AE32-ECECB8E8A310.jpg","Variant Image")</f>
      </c>
      <c r="U621" s="0">
        <f>HYPERLINK("https://ec-qa-storage.kldlms.com/Item/08DCF9B0-28E4-4D2C-8F54-D46165D64BC9/4F53CB2A-E858-4F31-A901-36C62F2E8A51.jpg","Thumbnail Image")</f>
      </c>
      <c r="V621" s="0">
        <f>HYPERLINK("https://ec-qa-storage.kldlms.com/ItemGallery/08DCF9B0-28E4-4D2C-8F54-D46165D64BC9/C9BFED69-52B4-487D-B81F-AA6E66C88C38.jpg","Gallery Image ")</f>
      </c>
      <c r="W621" s="0" t="s">
        <v>22</v>
      </c>
      <c r="X621" s="0" t="s">
        <v>2706</v>
      </c>
    </row>
    <row r="622">
      <c r="A622" s="0" t="s">
        <v>2659</v>
      </c>
      <c r="B622" s="0" t="s">
        <v>2659</v>
      </c>
      <c r="C622" s="0" t="s">
        <v>980</v>
      </c>
      <c r="D622" s="0" t="s">
        <v>27</v>
      </c>
      <c r="E622" s="0" t="s">
        <v>2654</v>
      </c>
      <c r="F622" s="0" t="s">
        <v>2631</v>
      </c>
      <c r="G622" s="0" t="s">
        <v>2659</v>
      </c>
      <c r="H622" s="0" t="s">
        <v>2659</v>
      </c>
      <c r="I622" s="0" t="s">
        <v>2707</v>
      </c>
      <c r="J622" s="0" t="s">
        <v>2707</v>
      </c>
      <c r="K622" s="0" t="s">
        <v>108</v>
      </c>
      <c r="L622" s="0" t="s">
        <v>32</v>
      </c>
      <c r="M622" s="0" t="s">
        <v>33</v>
      </c>
      <c r="N622" s="0" t="s">
        <v>404</v>
      </c>
      <c r="O622" s="0" t="s">
        <v>35</v>
      </c>
      <c r="P622" s="0" t="s">
        <v>966</v>
      </c>
      <c r="Q622" s="0" t="s">
        <v>960</v>
      </c>
      <c r="R622" s="0" t="s">
        <v>980</v>
      </c>
      <c r="S622" s="0" t="s">
        <v>404</v>
      </c>
      <c r="T622" s="0">
        <f>HYPERLINK("https://storage.sslt.ae/ItemVariation/08DCF9B0-2902-4848-8949-B129DF665167/0586D97A-A296-4987-989C-B28DD516E0C4.jpg","Variant Image")</f>
      </c>
      <c r="U622" s="0">
        <f>HYPERLINK("https://ec-qa-storage.kldlms.com/Item/08DCF9B0-2902-4848-8949-B129DF665167/3990E4B2-D9B9-4533-9580-E1230864C491.jpg","Thumbnail Image")</f>
      </c>
      <c r="V622" s="0">
        <f>HYPERLINK("https://ec-qa-storage.kldlms.com/ItemGallery/08DCF9B0-2902-4848-8949-B129DF665167/DBDAEE06-E71A-4400-9AD4-CEF59AC9D2B8.jpg","Gallery Image ")</f>
      </c>
      <c r="W622" s="0" t="s">
        <v>22</v>
      </c>
      <c r="X622" s="0" t="s">
        <v>981</v>
      </c>
    </row>
    <row r="623">
      <c r="A623" s="0" t="s">
        <v>2659</v>
      </c>
      <c r="B623" s="0" t="s">
        <v>2659</v>
      </c>
      <c r="C623" s="0" t="s">
        <v>925</v>
      </c>
      <c r="D623" s="0" t="s">
        <v>27</v>
      </c>
      <c r="E623" s="0" t="s">
        <v>2654</v>
      </c>
      <c r="F623" s="0" t="s">
        <v>2631</v>
      </c>
      <c r="G623" s="0" t="s">
        <v>2659</v>
      </c>
      <c r="H623" s="0" t="s">
        <v>2659</v>
      </c>
      <c r="I623" s="0" t="s">
        <v>2708</v>
      </c>
      <c r="J623" s="0" t="s">
        <v>2708</v>
      </c>
      <c r="K623" s="0" t="s">
        <v>2709</v>
      </c>
      <c r="L623" s="0" t="s">
        <v>32</v>
      </c>
      <c r="M623" s="0" t="s">
        <v>33</v>
      </c>
      <c r="N623" s="0" t="s">
        <v>100</v>
      </c>
      <c r="O623" s="0" t="s">
        <v>35</v>
      </c>
      <c r="P623" s="0" t="s">
        <v>923</v>
      </c>
      <c r="Q623" s="0" t="s">
        <v>2710</v>
      </c>
      <c r="R623" s="0" t="s">
        <v>925</v>
      </c>
      <c r="S623" s="0" t="s">
        <v>100</v>
      </c>
      <c r="T623" s="0">
        <f>HYPERLINK("https://storage.sslt.ae/ItemVariation/08DCF9B0-2911-4485-8572-73518E068C72/F654A447-332D-4F0C-98A8-A536A726C069.jpg","Variant Image")</f>
      </c>
      <c r="U623" s="0">
        <f>HYPERLINK("https://ec-qa-storage.kldlms.com/Item/08DCF9B0-2911-4485-8572-73518E068C72/04BD2AC3-51E7-4EA2-83EF-B283E090D3D9.jpg","Thumbnail Image")</f>
      </c>
      <c r="V623" s="0">
        <f>HYPERLINK("https://ec-qa-storage.kldlms.com/ItemGallery/08DCF9B0-2911-4485-8572-73518E068C72/FDD9FFEB-8625-4A35-A6E9-162E1EC8BB58.jpg","Gallery Image ")</f>
      </c>
      <c r="W623" s="0" t="s">
        <v>22</v>
      </c>
      <c r="X623" s="0" t="s">
        <v>926</v>
      </c>
    </row>
    <row r="624">
      <c r="A624" s="0" t="s">
        <v>2659</v>
      </c>
      <c r="B624" s="0" t="s">
        <v>2659</v>
      </c>
      <c r="C624" s="0" t="s">
        <v>952</v>
      </c>
      <c r="D624" s="0" t="s">
        <v>27</v>
      </c>
      <c r="E624" s="0" t="s">
        <v>2654</v>
      </c>
      <c r="F624" s="0" t="s">
        <v>2631</v>
      </c>
      <c r="G624" s="0" t="s">
        <v>2659</v>
      </c>
      <c r="H624" s="0" t="s">
        <v>2659</v>
      </c>
      <c r="I624" s="0" t="s">
        <v>2711</v>
      </c>
      <c r="J624" s="0" t="s">
        <v>2711</v>
      </c>
      <c r="K624" s="0" t="s">
        <v>948</v>
      </c>
      <c r="L624" s="0" t="s">
        <v>32</v>
      </c>
      <c r="M624" s="0" t="s">
        <v>33</v>
      </c>
      <c r="N624" s="0" t="s">
        <v>164</v>
      </c>
      <c r="O624" s="0" t="s">
        <v>35</v>
      </c>
      <c r="P624" s="0" t="s">
        <v>923</v>
      </c>
      <c r="Q624" s="0" t="s">
        <v>949</v>
      </c>
      <c r="R624" s="0" t="s">
        <v>952</v>
      </c>
      <c r="S624" s="0" t="s">
        <v>164</v>
      </c>
      <c r="T624" s="0">
        <f>HYPERLINK("https://storage.sslt.ae/ItemVariation/08DCF9B0-2926-4175-8B88-A6BB6AEC29E4/A4829767-06F4-4C5B-AFAE-811E33387D19.jpg","Variant Image")</f>
      </c>
      <c r="U624" s="0">
        <f>HYPERLINK("https://ec-qa-storage.kldlms.com/Item/08DCF9B0-2926-4175-8B88-A6BB6AEC29E4/0882AE7C-8B42-4A51-ACEE-A2EDD4015E8D.jpg","Thumbnail Image")</f>
      </c>
      <c r="V624" s="0">
        <f>HYPERLINK("https://ec-qa-storage.kldlms.com/ItemGallery/08DCF9B0-2926-4175-8B88-A6BB6AEC29E4/246BE7FB-5D3A-45B6-802A-E53E59F94265.jpg","Gallery Image ")</f>
      </c>
      <c r="W624" s="0" t="s">
        <v>22</v>
      </c>
      <c r="X624" s="0" t="s">
        <v>953</v>
      </c>
    </row>
    <row r="625">
      <c r="A625" s="0" t="s">
        <v>2659</v>
      </c>
      <c r="B625" s="0" t="s">
        <v>2659</v>
      </c>
      <c r="C625" s="0" t="s">
        <v>2712</v>
      </c>
      <c r="D625" s="0" t="s">
        <v>27</v>
      </c>
      <c r="E625" s="0" t="s">
        <v>2654</v>
      </c>
      <c r="F625" s="0" t="s">
        <v>2631</v>
      </c>
      <c r="G625" s="0" t="s">
        <v>2659</v>
      </c>
      <c r="H625" s="0" t="s">
        <v>2659</v>
      </c>
      <c r="I625" s="0" t="s">
        <v>2713</v>
      </c>
      <c r="J625" s="0" t="s">
        <v>2713</v>
      </c>
      <c r="K625" s="0" t="s">
        <v>2714</v>
      </c>
      <c r="L625" s="0" t="s">
        <v>32</v>
      </c>
      <c r="M625" s="0" t="s">
        <v>33</v>
      </c>
      <c r="N625" s="0" t="s">
        <v>35</v>
      </c>
      <c r="O625" s="0" t="s">
        <v>35</v>
      </c>
      <c r="P625" s="0" t="s">
        <v>966</v>
      </c>
      <c r="Q625" s="0" t="s">
        <v>2715</v>
      </c>
      <c r="R625" s="0" t="s">
        <v>2712</v>
      </c>
      <c r="S625" s="0" t="s">
        <v>35</v>
      </c>
      <c r="T625" s="0">
        <f>HYPERLINK("https://storage.sslt.ae/ItemVariation/08DCF9B0-2935-4C01-824D-64E00EE13A43/3AE93D9F-75EB-412C-920F-8A5801E00AA8.jpg","Variant Image")</f>
      </c>
      <c r="U625" s="0">
        <f>HYPERLINK("https://ec-qa-storage.kldlms.com/Item/08DCF9B0-2935-4C01-824D-64E00EE13A43/AC70F4D4-254E-403F-A62C-3472ACA5C824.jpg","Thumbnail Image")</f>
      </c>
      <c r="V625" s="0">
        <f>HYPERLINK("https://ec-qa-storage.kldlms.com/ItemGallery/08DCF9B0-2935-4C01-824D-64E00EE13A43/1C938BFA-C1AC-4027-845A-D4F62A414FA2.jpg","Gallery Image ")</f>
      </c>
      <c r="W625" s="0" t="s">
        <v>22</v>
      </c>
      <c r="X625" s="0" t="s">
        <v>2716</v>
      </c>
    </row>
    <row r="626">
      <c r="A626" s="0" t="s">
        <v>2659</v>
      </c>
      <c r="B626" s="0" t="s">
        <v>2659</v>
      </c>
      <c r="C626" s="0" t="s">
        <v>2717</v>
      </c>
      <c r="D626" s="0" t="s">
        <v>27</v>
      </c>
      <c r="E626" s="0" t="s">
        <v>2654</v>
      </c>
      <c r="F626" s="0" t="s">
        <v>2631</v>
      </c>
      <c r="G626" s="0" t="s">
        <v>2659</v>
      </c>
      <c r="H626" s="0" t="s">
        <v>2659</v>
      </c>
      <c r="I626" s="0" t="s">
        <v>2718</v>
      </c>
      <c r="J626" s="0" t="s">
        <v>2718</v>
      </c>
      <c r="K626" s="0" t="s">
        <v>2719</v>
      </c>
      <c r="L626" s="0" t="s">
        <v>32</v>
      </c>
      <c r="M626" s="0" t="s">
        <v>33</v>
      </c>
      <c r="N626" s="0" t="s">
        <v>160</v>
      </c>
      <c r="O626" s="0" t="s">
        <v>35</v>
      </c>
      <c r="P626" s="0" t="s">
        <v>923</v>
      </c>
      <c r="Q626" s="0" t="s">
        <v>2720</v>
      </c>
      <c r="R626" s="0" t="s">
        <v>2717</v>
      </c>
      <c r="S626" s="0" t="s">
        <v>160</v>
      </c>
      <c r="T626" s="0">
        <f>HYPERLINK("https://storage.sslt.ae/ItemVariation/08DCF9B0-294C-4B50-8BE9-2480E3543ED5/BDEAA22B-6C56-4B06-BF4C-2F7754F055DC.jpg","Variant Image")</f>
      </c>
      <c r="U626" s="0">
        <f>HYPERLINK("https://ec-qa-storage.kldlms.com/Item/08DCF9B0-294C-4B50-8BE9-2480E3543ED5/5A00CF0D-0F4B-4E6C-882C-AB7FFFE83C2E.jpg","Thumbnail Image")</f>
      </c>
      <c r="V626" s="0">
        <f>HYPERLINK("https://ec-qa-storage.kldlms.com/ItemGallery/08DCF9B0-294C-4B50-8BE9-2480E3543ED5/631D9590-E9EE-4B2A-B53E-EF66D0A9F0B6.jpg","Gallery Image ")</f>
      </c>
      <c r="W626" s="0" t="s">
        <v>22</v>
      </c>
      <c r="X626" s="0" t="s">
        <v>2721</v>
      </c>
    </row>
    <row r="627">
      <c r="A627" s="0" t="s">
        <v>2659</v>
      </c>
      <c r="B627" s="0" t="s">
        <v>2659</v>
      </c>
      <c r="C627" s="0" t="s">
        <v>934</v>
      </c>
      <c r="D627" s="0" t="s">
        <v>27</v>
      </c>
      <c r="E627" s="0" t="s">
        <v>2654</v>
      </c>
      <c r="F627" s="0" t="s">
        <v>2631</v>
      </c>
      <c r="G627" s="0" t="s">
        <v>2659</v>
      </c>
      <c r="H627" s="0" t="s">
        <v>2659</v>
      </c>
      <c r="I627" s="0" t="s">
        <v>2722</v>
      </c>
      <c r="J627" s="0" t="s">
        <v>2722</v>
      </c>
      <c r="K627" s="0" t="s">
        <v>2723</v>
      </c>
      <c r="L627" s="0" t="s">
        <v>32</v>
      </c>
      <c r="M627" s="0" t="s">
        <v>33</v>
      </c>
      <c r="N627" s="0" t="s">
        <v>349</v>
      </c>
      <c r="O627" s="0" t="s">
        <v>35</v>
      </c>
      <c r="P627" s="0" t="s">
        <v>932</v>
      </c>
      <c r="Q627" s="0" t="s">
        <v>2724</v>
      </c>
      <c r="R627" s="0" t="s">
        <v>934</v>
      </c>
      <c r="S627" s="0" t="s">
        <v>349</v>
      </c>
      <c r="T627" s="0">
        <f>HYPERLINK("https://storage.sslt.ae/ItemVariation/08DCF9B0-2968-4187-824C-E133DE0B5A88/0CF4DBA7-1C1B-4516-8076-8ABBD8EA0EFC.jpg","Variant Image")</f>
      </c>
      <c r="U627" s="0">
        <f>HYPERLINK("https://ec-qa-storage.kldlms.com/Item/08DCF9B0-2968-4187-824C-E133DE0B5A88/794AF15F-FDF9-47A7-AB60-ECD1D5402D9A.jpg","Thumbnail Image")</f>
      </c>
      <c r="V627" s="0">
        <f>HYPERLINK("https://ec-qa-storage.kldlms.com/ItemGallery/08DCF9B0-2968-4187-824C-E133DE0B5A88/A82F384C-4CD1-427E-8D40-718EB052D23A.jpg","Gallery Image ")</f>
      </c>
      <c r="W627" s="0" t="s">
        <v>22</v>
      </c>
      <c r="X627" s="0" t="s">
        <v>935</v>
      </c>
    </row>
    <row r="628">
      <c r="A628" s="0" t="s">
        <v>2725</v>
      </c>
      <c r="B628" s="0" t="s">
        <v>2725</v>
      </c>
      <c r="C628" s="0" t="s">
        <v>2726</v>
      </c>
      <c r="D628" s="0" t="s">
        <v>27</v>
      </c>
      <c r="E628" s="0" t="s">
        <v>2654</v>
      </c>
      <c r="F628" s="0" t="s">
        <v>2631</v>
      </c>
      <c r="G628" s="0" t="s">
        <v>2725</v>
      </c>
      <c r="H628" s="0" t="s">
        <v>2725</v>
      </c>
      <c r="I628" s="0" t="s">
        <v>2727</v>
      </c>
      <c r="J628" s="0" t="s">
        <v>2727</v>
      </c>
      <c r="K628" s="0" t="s">
        <v>2728</v>
      </c>
      <c r="L628" s="0" t="s">
        <v>32</v>
      </c>
      <c r="M628" s="0" t="s">
        <v>33</v>
      </c>
      <c r="N628" s="0" t="s">
        <v>276</v>
      </c>
      <c r="O628" s="0" t="s">
        <v>35</v>
      </c>
      <c r="P628" s="0" t="s">
        <v>2634</v>
      </c>
      <c r="Q628" s="0" t="s">
        <v>2729</v>
      </c>
      <c r="R628" s="0" t="s">
        <v>2726</v>
      </c>
      <c r="S628" s="0" t="s">
        <v>276</v>
      </c>
      <c r="T628" s="0">
        <f>HYPERLINK("https://storage.sslt.ae/ItemVariation/08DCF9B0-2994-48ED-8EF1-7206D49EF7DE/54C97174-2923-40EB-9416-C0456EA69C7F.jpg","Variant Image")</f>
      </c>
      <c r="U628" s="0">
        <f>HYPERLINK("https://ec-qa-storage.kldlms.com/Item/08DCF9B0-2994-48ED-8EF1-7206D49EF7DE/0CCC5F8F-53E1-4B86-88FA-9E6DF354F7B7.jpg","Thumbnail Image")</f>
      </c>
      <c r="V628" s="0">
        <f>HYPERLINK("https://ec-qa-storage.kldlms.com/ItemGallery/08DCF9B0-2994-48ED-8EF1-7206D49EF7DE/88BFA0EF-9C72-4356-AB2C-CF4C27DEB5F3.jpg","Gallery Image ")</f>
      </c>
      <c r="W628" s="0" t="s">
        <v>22</v>
      </c>
      <c r="X628" s="0" t="s">
        <v>2730</v>
      </c>
    </row>
    <row r="629">
      <c r="A629" s="0" t="s">
        <v>2731</v>
      </c>
      <c r="B629" s="0" t="s">
        <v>2731</v>
      </c>
      <c r="C629" s="0" t="s">
        <v>2732</v>
      </c>
      <c r="D629" s="0" t="s">
        <v>27</v>
      </c>
      <c r="E629" s="0" t="s">
        <v>2654</v>
      </c>
      <c r="F629" s="0" t="s">
        <v>2631</v>
      </c>
      <c r="G629" s="0" t="s">
        <v>2731</v>
      </c>
      <c r="H629" s="0" t="s">
        <v>2731</v>
      </c>
      <c r="I629" s="0" t="s">
        <v>2733</v>
      </c>
      <c r="J629" s="0" t="s">
        <v>2733</v>
      </c>
      <c r="K629" s="0" t="s">
        <v>2734</v>
      </c>
      <c r="L629" s="0" t="s">
        <v>32</v>
      </c>
      <c r="M629" s="0" t="s">
        <v>33</v>
      </c>
      <c r="N629" s="0" t="s">
        <v>349</v>
      </c>
      <c r="O629" s="0" t="s">
        <v>35</v>
      </c>
      <c r="P629" s="0" t="s">
        <v>2735</v>
      </c>
      <c r="Q629" s="0" t="s">
        <v>2736</v>
      </c>
      <c r="R629" s="0" t="s">
        <v>2732</v>
      </c>
      <c r="S629" s="0" t="s">
        <v>349</v>
      </c>
      <c r="T629" s="0">
        <f>HYPERLINK("https://storage.sslt.ae/ItemVariation/08DCF9B0-29AC-4276-8C27-E300F22F0AF7/45D519BE-4FA7-4424-A6A3-897BDCBB2958.jpg","Variant Image")</f>
      </c>
      <c r="U629" s="0">
        <f>HYPERLINK("https://ec-qa-storage.kldlms.com/Item/08DCF9B0-29AC-4276-8C27-E300F22F0AF7/1012851B-38AD-446A-9956-F4BD6B89C390.jpg","Thumbnail Image")</f>
      </c>
      <c r="V629" s="0">
        <f>HYPERLINK("https://ec-qa-storage.kldlms.com/ItemGallery/08DCF9B0-29AC-4276-8C27-E300F22F0AF7/5DC0BDB9-79D0-4088-ABD9-CD5617719620.jpg","Gallery Image ")</f>
      </c>
      <c r="W629" s="0" t="s">
        <v>22</v>
      </c>
      <c r="X629" s="0" t="s">
        <v>2737</v>
      </c>
    </row>
    <row r="630">
      <c r="A630" s="0" t="s">
        <v>2725</v>
      </c>
      <c r="B630" s="0" t="s">
        <v>2725</v>
      </c>
      <c r="C630" s="0" t="s">
        <v>2738</v>
      </c>
      <c r="D630" s="0" t="s">
        <v>27</v>
      </c>
      <c r="E630" s="0" t="s">
        <v>2654</v>
      </c>
      <c r="F630" s="0" t="s">
        <v>2631</v>
      </c>
      <c r="G630" s="0" t="s">
        <v>2725</v>
      </c>
      <c r="H630" s="0" t="s">
        <v>2725</v>
      </c>
      <c r="I630" s="0" t="s">
        <v>2739</v>
      </c>
      <c r="J630" s="0" t="s">
        <v>2739</v>
      </c>
      <c r="K630" s="0" t="s">
        <v>2740</v>
      </c>
      <c r="L630" s="0" t="s">
        <v>32</v>
      </c>
      <c r="M630" s="0" t="s">
        <v>33</v>
      </c>
      <c r="N630" s="0" t="s">
        <v>202</v>
      </c>
      <c r="O630" s="0" t="s">
        <v>35</v>
      </c>
      <c r="P630" s="0" t="s">
        <v>2640</v>
      </c>
      <c r="Q630" s="0" t="s">
        <v>2741</v>
      </c>
      <c r="R630" s="0" t="s">
        <v>2738</v>
      </c>
      <c r="S630" s="0" t="s">
        <v>202</v>
      </c>
      <c r="T630" s="0">
        <f>HYPERLINK("https://storage.sslt.ae/ItemVariation/08DCF9B0-29B6-4BF9-8BA6-8BD9E2B0AFC9/56A2194F-D265-43AE-9915-826C3AE75289.jpg","Variant Image")</f>
      </c>
      <c r="U630" s="0">
        <f>HYPERLINK("https://ec-qa-storage.kldlms.com/Item/08DCF9B0-29B6-4BF9-8BA6-8BD9E2B0AFC9/B321FD84-D020-43B6-9B38-3879BA40F9A4.jpg","Thumbnail Image")</f>
      </c>
      <c r="V630" s="0">
        <f>HYPERLINK("https://ec-qa-storage.kldlms.com/ItemGallery/08DCF9B0-29B6-4BF9-8BA6-8BD9E2B0AFC9/A22CB19C-BC9C-4FD3-BA96-C15C461E802A.jpg","Gallery Image ")</f>
      </c>
      <c r="W630" s="0" t="s">
        <v>22</v>
      </c>
      <c r="X630" s="0" t="s">
        <v>2742</v>
      </c>
    </row>
    <row r="631">
      <c r="A631" s="0" t="s">
        <v>2725</v>
      </c>
      <c r="B631" s="0" t="s">
        <v>2725</v>
      </c>
      <c r="C631" s="0" t="s">
        <v>2743</v>
      </c>
      <c r="D631" s="0" t="s">
        <v>27</v>
      </c>
      <c r="E631" s="0" t="s">
        <v>2654</v>
      </c>
      <c r="F631" s="0" t="s">
        <v>2631</v>
      </c>
      <c r="G631" s="0" t="s">
        <v>2725</v>
      </c>
      <c r="H631" s="0" t="s">
        <v>2725</v>
      </c>
      <c r="I631" s="0" t="s">
        <v>2744</v>
      </c>
      <c r="J631" s="0" t="s">
        <v>2744</v>
      </c>
      <c r="K631" s="0" t="s">
        <v>2745</v>
      </c>
      <c r="L631" s="0" t="s">
        <v>32</v>
      </c>
      <c r="M631" s="0" t="s">
        <v>33</v>
      </c>
      <c r="N631" s="0" t="s">
        <v>140</v>
      </c>
      <c r="O631" s="0" t="s">
        <v>35</v>
      </c>
      <c r="P631" s="0" t="s">
        <v>2634</v>
      </c>
      <c r="Q631" s="0" t="s">
        <v>2746</v>
      </c>
      <c r="R631" s="0" t="s">
        <v>2743</v>
      </c>
      <c r="S631" s="0" t="s">
        <v>140</v>
      </c>
      <c r="T631" s="0">
        <f>HYPERLINK("https://storage.sslt.ae/ItemVariation/08DCF9B0-29CD-4A3D-8902-3EEAED1E41D1/4AD35DD5-0589-4342-BCFB-E5A1ED00510F.jpg","Variant Image")</f>
      </c>
      <c r="U631" s="0">
        <f>HYPERLINK("https://ec-qa-storage.kldlms.com/Item/08DCF9B0-29CD-4A3D-8902-3EEAED1E41D1/55B810A6-506B-4896-A4EE-87049A54CA1E.jpg","Thumbnail Image")</f>
      </c>
      <c r="V631" s="0">
        <f>HYPERLINK("https://ec-qa-storage.kldlms.com/ItemGallery/08DCF9B0-29CD-4A3D-8902-3EEAED1E41D1/4672978D-A396-461B-9D4C-5EDC44A8B92D.jpg","Gallery Image ")</f>
      </c>
      <c r="W631" s="0" t="s">
        <v>22</v>
      </c>
      <c r="X631" s="0" t="s">
        <v>2747</v>
      </c>
    </row>
    <row r="632">
      <c r="A632" s="0" t="s">
        <v>2725</v>
      </c>
      <c r="B632" s="0" t="s">
        <v>2725</v>
      </c>
      <c r="C632" s="0" t="s">
        <v>2748</v>
      </c>
      <c r="D632" s="0" t="s">
        <v>27</v>
      </c>
      <c r="E632" s="0" t="s">
        <v>2654</v>
      </c>
      <c r="F632" s="0" t="s">
        <v>2631</v>
      </c>
      <c r="G632" s="0" t="s">
        <v>2725</v>
      </c>
      <c r="H632" s="0" t="s">
        <v>2725</v>
      </c>
      <c r="I632" s="0" t="s">
        <v>2749</v>
      </c>
      <c r="J632" s="0" t="s">
        <v>2749</v>
      </c>
      <c r="K632" s="0" t="s">
        <v>2750</v>
      </c>
      <c r="L632" s="0" t="s">
        <v>32</v>
      </c>
      <c r="M632" s="0" t="s">
        <v>33</v>
      </c>
      <c r="N632" s="0" t="s">
        <v>155</v>
      </c>
      <c r="O632" s="0" t="s">
        <v>35</v>
      </c>
      <c r="P632" s="0" t="s">
        <v>563</v>
      </c>
      <c r="Q632" s="0" t="s">
        <v>2751</v>
      </c>
      <c r="R632" s="0" t="s">
        <v>2748</v>
      </c>
      <c r="S632" s="0" t="s">
        <v>155</v>
      </c>
      <c r="T632" s="0">
        <f>HYPERLINK("https://storage.sslt.ae/ItemVariation/08DCF9B0-29DD-4C12-8455-25002782DE4C/7ED31AED-07B5-4F0D-B8DC-415A28C73B46.jpg","Variant Image")</f>
      </c>
      <c r="U632" s="0">
        <f>HYPERLINK("https://ec-qa-storage.kldlms.com/Item/08DCF9B0-29DD-4C12-8455-25002782DE4C/D5ADC983-2E6E-403F-961B-77D341A27318.jpg","Thumbnail Image")</f>
      </c>
      <c r="V632" s="0">
        <f>HYPERLINK("https://ec-qa-storage.kldlms.com/ItemGallery/08DCF9B0-29DD-4C12-8455-25002782DE4C/345CF82C-3CC2-4905-82E9-F8DE2897CE07.jpg","Gallery Image ")</f>
      </c>
      <c r="W632" s="0" t="s">
        <v>22</v>
      </c>
      <c r="X632" s="0" t="s">
        <v>2752</v>
      </c>
    </row>
    <row r="633">
      <c r="A633" s="0" t="s">
        <v>2725</v>
      </c>
      <c r="B633" s="0" t="s">
        <v>2725</v>
      </c>
      <c r="C633" s="0" t="s">
        <v>2753</v>
      </c>
      <c r="D633" s="0" t="s">
        <v>27</v>
      </c>
      <c r="E633" s="0" t="s">
        <v>2654</v>
      </c>
      <c r="F633" s="0" t="s">
        <v>2631</v>
      </c>
      <c r="G633" s="0" t="s">
        <v>2725</v>
      </c>
      <c r="H633" s="0" t="s">
        <v>2725</v>
      </c>
      <c r="I633" s="0" t="s">
        <v>2754</v>
      </c>
      <c r="J633" s="0" t="s">
        <v>2754</v>
      </c>
      <c r="K633" s="0" t="s">
        <v>2755</v>
      </c>
      <c r="L633" s="0" t="s">
        <v>32</v>
      </c>
      <c r="M633" s="0" t="s">
        <v>33</v>
      </c>
      <c r="N633" s="0" t="s">
        <v>232</v>
      </c>
      <c r="O633" s="0" t="s">
        <v>35</v>
      </c>
      <c r="P633" s="0" t="s">
        <v>563</v>
      </c>
      <c r="Q633" s="0" t="s">
        <v>2756</v>
      </c>
      <c r="R633" s="0" t="s">
        <v>2753</v>
      </c>
      <c r="S633" s="0" t="s">
        <v>232</v>
      </c>
      <c r="T633" s="0">
        <f>HYPERLINK("https://storage.sslt.ae/ItemVariation/08DCF9B0-29EE-4C5D-87FB-C4D5AF2EA11B/6092843B-2351-494E-A26B-DABEB1A61808.jpg","Variant Image")</f>
      </c>
      <c r="U633" s="0">
        <f>HYPERLINK("https://ec-qa-storage.kldlms.com/Item/08DCF9B0-29EE-4C5D-87FB-C4D5AF2EA11B/00E601E7-EC6E-4DB1-9051-24323C3B131D.jpg","Thumbnail Image")</f>
      </c>
      <c r="V633" s="0">
        <f>HYPERLINK("https://ec-qa-storage.kldlms.com/ItemGallery/08DCF9B0-29EE-4C5D-87FB-C4D5AF2EA11B/763881B3-747E-4BC5-B829-6E1060F134DB.jpg","Gallery Image ")</f>
      </c>
      <c r="W633" s="0" t="s">
        <v>22</v>
      </c>
      <c r="X633" s="0" t="s">
        <v>2757</v>
      </c>
    </row>
    <row r="634">
      <c r="A634" s="0" t="s">
        <v>2731</v>
      </c>
      <c r="B634" s="0" t="s">
        <v>2731</v>
      </c>
      <c r="C634" s="0" t="s">
        <v>2758</v>
      </c>
      <c r="D634" s="0" t="s">
        <v>27</v>
      </c>
      <c r="E634" s="0" t="s">
        <v>2654</v>
      </c>
      <c r="F634" s="0" t="s">
        <v>2631</v>
      </c>
      <c r="G634" s="0" t="s">
        <v>2731</v>
      </c>
      <c r="H634" s="0" t="s">
        <v>2731</v>
      </c>
      <c r="I634" s="0" t="s">
        <v>2759</v>
      </c>
      <c r="J634" s="0" t="s">
        <v>2759</v>
      </c>
      <c r="K634" s="0" t="s">
        <v>2760</v>
      </c>
      <c r="L634" s="0" t="s">
        <v>32</v>
      </c>
      <c r="M634" s="0" t="s">
        <v>33</v>
      </c>
      <c r="N634" s="0" t="s">
        <v>35</v>
      </c>
      <c r="O634" s="0" t="s">
        <v>35</v>
      </c>
      <c r="P634" s="0" t="s">
        <v>2761</v>
      </c>
      <c r="Q634" s="0" t="s">
        <v>2762</v>
      </c>
      <c r="R634" s="0" t="s">
        <v>2758</v>
      </c>
      <c r="S634" s="0" t="s">
        <v>35</v>
      </c>
      <c r="T634" s="0">
        <f>HYPERLINK("https://storage.sslt.ae/ItemVariation/08DCF9B0-2A07-40ED-87CE-CED4F6ABB233/98176348-AB08-4ADD-A128-6F0BD1A6B66E.jpg","Variant Image")</f>
      </c>
      <c r="U634" s="0">
        <f>HYPERLINK("https://ec-qa-storage.kldlms.com/Item/08DCF9B0-2A07-40ED-87CE-CED4F6ABB233/4C63249C-9642-4383-AF8E-2EC7688BCBD6.jpg","Thumbnail Image")</f>
      </c>
      <c r="V634" s="0">
        <f>HYPERLINK("https://ec-qa-storage.kldlms.com/ItemGallery/08DCF9B0-2A07-40ED-87CE-CED4F6ABB233/07EAD6CA-DD94-4DB8-9B61-646E22ABA60F.jpg","Gallery Image ")</f>
      </c>
      <c r="W634" s="0" t="s">
        <v>22</v>
      </c>
      <c r="X634" s="0" t="s">
        <v>2763</v>
      </c>
    </row>
    <row r="635">
      <c r="A635" s="0" t="s">
        <v>2764</v>
      </c>
      <c r="B635" s="0" t="s">
        <v>2764</v>
      </c>
      <c r="C635" s="0" t="s">
        <v>2765</v>
      </c>
      <c r="D635" s="0" t="s">
        <v>27</v>
      </c>
      <c r="E635" s="0" t="s">
        <v>2654</v>
      </c>
      <c r="F635" s="0" t="s">
        <v>2631</v>
      </c>
      <c r="G635" s="0" t="s">
        <v>2764</v>
      </c>
      <c r="H635" s="0" t="s">
        <v>2764</v>
      </c>
      <c r="I635" s="0" t="s">
        <v>2766</v>
      </c>
      <c r="J635" s="0" t="s">
        <v>2766</v>
      </c>
      <c r="K635" s="0" t="s">
        <v>2767</v>
      </c>
      <c r="L635" s="0" t="s">
        <v>32</v>
      </c>
      <c r="M635" s="0" t="s">
        <v>33</v>
      </c>
      <c r="N635" s="0" t="s">
        <v>772</v>
      </c>
      <c r="O635" s="0" t="s">
        <v>35</v>
      </c>
      <c r="P635" s="0" t="s">
        <v>39</v>
      </c>
      <c r="Q635" s="0" t="s">
        <v>2768</v>
      </c>
      <c r="R635" s="0" t="s">
        <v>2765</v>
      </c>
      <c r="S635" s="0" t="s">
        <v>772</v>
      </c>
      <c r="T635" s="0">
        <f>HYPERLINK("https://storage.sslt.ae/ItemVariation/08DCF9B0-2A1A-42A3-8C2C-CFEA02766458/B6DBE6DC-8F29-41CF-9CF6-B3BC9F0CC45B.jpg","Variant Image")</f>
      </c>
      <c r="U635" s="0">
        <f>HYPERLINK("https://ec-qa-storage.kldlms.com/Item/08DCF9B0-2A1A-42A3-8C2C-CFEA02766458/D5618DDA-4C7B-451C-990C-55AB1DE597A4.jpg","Thumbnail Image")</f>
      </c>
      <c r="V635" s="0">
        <f>HYPERLINK("https://ec-qa-storage.kldlms.com/ItemGallery/08DCF9B0-2A1A-42A3-8C2C-CFEA02766458/B577D309-130E-4E4E-8303-C60E37179DFA.jpg","Gallery Image ")</f>
      </c>
      <c r="W635" s="0" t="s">
        <v>22</v>
      </c>
      <c r="X635" s="0" t="s">
        <v>2769</v>
      </c>
    </row>
    <row r="636">
      <c r="A636" s="0" t="s">
        <v>2764</v>
      </c>
      <c r="B636" s="0" t="s">
        <v>2764</v>
      </c>
      <c r="C636" s="0" t="s">
        <v>2770</v>
      </c>
      <c r="D636" s="0" t="s">
        <v>27</v>
      </c>
      <c r="E636" s="0" t="s">
        <v>2654</v>
      </c>
      <c r="F636" s="0" t="s">
        <v>2631</v>
      </c>
      <c r="G636" s="0" t="s">
        <v>2764</v>
      </c>
      <c r="H636" s="0" t="s">
        <v>2764</v>
      </c>
      <c r="I636" s="0" t="s">
        <v>2771</v>
      </c>
      <c r="J636" s="0" t="s">
        <v>2771</v>
      </c>
      <c r="K636" s="0" t="s">
        <v>2772</v>
      </c>
      <c r="L636" s="0" t="s">
        <v>32</v>
      </c>
      <c r="M636" s="0" t="s">
        <v>33</v>
      </c>
      <c r="N636" s="0" t="s">
        <v>266</v>
      </c>
      <c r="O636" s="0" t="s">
        <v>35</v>
      </c>
      <c r="P636" s="0" t="s">
        <v>39</v>
      </c>
      <c r="Q636" s="0" t="s">
        <v>2773</v>
      </c>
      <c r="R636" s="0" t="s">
        <v>2770</v>
      </c>
      <c r="S636" s="0" t="s">
        <v>266</v>
      </c>
      <c r="T636" s="0">
        <f>HYPERLINK("https://storage.sslt.ae/ItemVariation/08DCF9B0-2A3E-4676-83F1-C572F4A21258/1D9B2FD3-69D6-4C1A-857D-8CAA7B1F62E3.jpg","Variant Image")</f>
      </c>
      <c r="U636" s="0">
        <f>HYPERLINK("https://ec-qa-storage.kldlms.com/Item/08DCF9B0-2A3E-4676-83F1-C572F4A21258/BB6E0CCA-D719-4E09-BCD9-97E9F38BFC2C.jpg","Thumbnail Image")</f>
      </c>
      <c r="V636" s="0">
        <f>HYPERLINK("https://ec-qa-storage.kldlms.com/ItemGallery/08DCF9B0-2A3E-4676-83F1-C572F4A21258/9593CC51-B620-48F3-B309-81609FCA2D09.jpg","Gallery Image ")</f>
      </c>
      <c r="W636" s="0" t="s">
        <v>22</v>
      </c>
      <c r="X636" s="0" t="s">
        <v>2774</v>
      </c>
    </row>
    <row r="637">
      <c r="A637" s="0" t="s">
        <v>2775</v>
      </c>
      <c r="B637" s="0" t="s">
        <v>2775</v>
      </c>
      <c r="C637" s="0" t="s">
        <v>2776</v>
      </c>
      <c r="D637" s="0" t="s">
        <v>27</v>
      </c>
      <c r="E637" s="0" t="s">
        <v>2777</v>
      </c>
      <c r="F637" s="0" t="s">
        <v>2631</v>
      </c>
      <c r="G637" s="0" t="s">
        <v>2775</v>
      </c>
      <c r="H637" s="0" t="s">
        <v>2775</v>
      </c>
      <c r="I637" s="0" t="s">
        <v>2778</v>
      </c>
      <c r="J637" s="0" t="s">
        <v>2778</v>
      </c>
      <c r="K637" s="0" t="s">
        <v>2779</v>
      </c>
      <c r="L637" s="0" t="s">
        <v>32</v>
      </c>
      <c r="M637" s="0" t="s">
        <v>33</v>
      </c>
      <c r="N637" s="0" t="s">
        <v>202</v>
      </c>
      <c r="O637" s="0" t="s">
        <v>35</v>
      </c>
      <c r="P637" s="0" t="s">
        <v>563</v>
      </c>
      <c r="Q637" s="0" t="s">
        <v>2780</v>
      </c>
      <c r="R637" s="0" t="s">
        <v>2776</v>
      </c>
      <c r="S637" s="0" t="s">
        <v>202</v>
      </c>
      <c r="T637" s="0">
        <f>HYPERLINK("https://storage.sslt.ae/ItemVariation/08DCF9B0-2CC5-4836-869C-0567FF953790/9FB0BDFD-CF30-4268-AC9A-C634C169DDEF.jpg","Variant Image")</f>
      </c>
      <c r="U637" s="0">
        <f>HYPERLINK("https://ec-qa-storage.kldlms.com/Item/08DCF9B0-2CC5-4836-869C-0567FF953790/DF514E16-0B92-4D8A-8115-BFAFB264B979.jpg","Thumbnail Image")</f>
      </c>
      <c r="V637" s="0">
        <f>HYPERLINK("https://ec-qa-storage.kldlms.com/ItemGallery/08DCF9B0-2CC5-4836-869C-0567FF953790/CCEF8E0C-8D8C-4B48-8361-122AE86ADAEB.jpg","Gallery Image ")</f>
      </c>
      <c r="W637" s="0" t="s">
        <v>22</v>
      </c>
      <c r="X637" s="0" t="s">
        <v>2781</v>
      </c>
    </row>
    <row r="638">
      <c r="A638" s="0" t="s">
        <v>2775</v>
      </c>
      <c r="B638" s="0" t="s">
        <v>2775</v>
      </c>
      <c r="C638" s="0" t="s">
        <v>2782</v>
      </c>
      <c r="D638" s="0" t="s">
        <v>27</v>
      </c>
      <c r="E638" s="0" t="s">
        <v>2777</v>
      </c>
      <c r="F638" s="0" t="s">
        <v>2631</v>
      </c>
      <c r="G638" s="0" t="s">
        <v>2775</v>
      </c>
      <c r="H638" s="0" t="s">
        <v>2775</v>
      </c>
      <c r="I638" s="0" t="s">
        <v>2783</v>
      </c>
      <c r="J638" s="0" t="s">
        <v>2783</v>
      </c>
      <c r="K638" s="0" t="s">
        <v>2784</v>
      </c>
      <c r="L638" s="0" t="s">
        <v>32</v>
      </c>
      <c r="M638" s="0" t="s">
        <v>33</v>
      </c>
      <c r="N638" s="0" t="s">
        <v>276</v>
      </c>
      <c r="O638" s="0" t="s">
        <v>35</v>
      </c>
      <c r="P638" s="0" t="s">
        <v>563</v>
      </c>
      <c r="Q638" s="0" t="s">
        <v>2785</v>
      </c>
      <c r="R638" s="0" t="s">
        <v>2782</v>
      </c>
      <c r="S638" s="0" t="s">
        <v>276</v>
      </c>
      <c r="T638" s="0">
        <f>HYPERLINK("https://storage.sslt.ae/ItemVariation/08DCF9B0-2CD6-4A2D-8EC8-EDE04B5B41F6/2EAB908F-9A3A-4268-A86B-0A7E8C7FA2C5.jpg","Variant Image")</f>
      </c>
      <c r="U638" s="0">
        <f>HYPERLINK("https://ec-qa-storage.kldlms.com/Item/08DCF9B0-2CD6-4A2D-8EC8-EDE04B5B41F6/B07A1792-1A75-4780-9573-D3298D413224.jpg","Thumbnail Image")</f>
      </c>
      <c r="V638" s="0">
        <f>HYPERLINK("https://ec-qa-storage.kldlms.com/ItemGallery/08DCF9B0-2CD6-4A2D-8EC8-EDE04B5B41F6/A252A4F5-E58D-41C4-9BA0-E492644AA7E9.jpg","Gallery Image ")</f>
      </c>
      <c r="W638" s="0" t="s">
        <v>22</v>
      </c>
      <c r="X638" s="0" t="s">
        <v>2786</v>
      </c>
    </row>
    <row r="639">
      <c r="A639" s="0" t="s">
        <v>2787</v>
      </c>
      <c r="B639" s="0" t="s">
        <v>2787</v>
      </c>
      <c r="C639" s="0" t="s">
        <v>2788</v>
      </c>
      <c r="D639" s="0" t="s">
        <v>27</v>
      </c>
      <c r="E639" s="0" t="s">
        <v>2789</v>
      </c>
      <c r="F639" s="0" t="s">
        <v>557</v>
      </c>
      <c r="G639" s="0" t="s">
        <v>2787</v>
      </c>
      <c r="H639" s="0" t="s">
        <v>2787</v>
      </c>
      <c r="I639" s="0" t="s">
        <v>615</v>
      </c>
      <c r="J639" s="0" t="s">
        <v>615</v>
      </c>
      <c r="K639" s="0" t="s">
        <v>2790</v>
      </c>
      <c r="L639" s="0" t="s">
        <v>32</v>
      </c>
      <c r="M639" s="0" t="s">
        <v>33</v>
      </c>
      <c r="N639" s="0" t="s">
        <v>243</v>
      </c>
      <c r="O639" s="0" t="s">
        <v>35</v>
      </c>
      <c r="P639" s="0" t="s">
        <v>527</v>
      </c>
      <c r="Q639" s="0" t="s">
        <v>2791</v>
      </c>
      <c r="R639" s="0" t="s">
        <v>2788</v>
      </c>
      <c r="S639" s="0" t="s">
        <v>243</v>
      </c>
      <c r="T639" s="0">
        <f>HYPERLINK("https://storage.sslt.ae/ItemVariation/08DCF9B1-83A6-4D08-81CF-797924F499AA/F6221AAB-DC26-40ED-9C5F-27507C07DFF2.jpg","Variant Image")</f>
      </c>
      <c r="U639" s="0">
        <f>HYPERLINK("https://ec-qa-storage.kldlms.com/Item/08DCF9B1-83A6-4D08-81CF-797924F499AA/376F9376-8537-44CE-820C-FF4D0A5CA83D.jpg","Thumbnail Image")</f>
      </c>
      <c r="V639" s="0">
        <f>HYPERLINK("https://ec-qa-storage.kldlms.com/ItemGallery/08DCF9B1-83A6-4D08-81CF-797924F499AA/C6745A1A-030E-4AF6-88FE-EB1DDC6D6C97.jpg","Gallery Image ")</f>
      </c>
      <c r="W639" s="0" t="s">
        <v>22</v>
      </c>
      <c r="X639" s="0" t="s">
        <v>2792</v>
      </c>
    </row>
    <row r="640">
      <c r="A640" s="0" t="s">
        <v>2793</v>
      </c>
      <c r="B640" s="0" t="s">
        <v>2793</v>
      </c>
      <c r="C640" s="0" t="s">
        <v>2794</v>
      </c>
      <c r="D640" s="0" t="s">
        <v>27</v>
      </c>
      <c r="E640" s="0" t="s">
        <v>2789</v>
      </c>
      <c r="F640" s="0" t="s">
        <v>557</v>
      </c>
      <c r="G640" s="0" t="s">
        <v>2793</v>
      </c>
      <c r="H640" s="0" t="s">
        <v>2793</v>
      </c>
      <c r="I640" s="0" t="s">
        <v>615</v>
      </c>
      <c r="J640" s="0" t="s">
        <v>615</v>
      </c>
      <c r="K640" s="0" t="s">
        <v>2795</v>
      </c>
      <c r="L640" s="0" t="s">
        <v>32</v>
      </c>
      <c r="M640" s="0" t="s">
        <v>33</v>
      </c>
      <c r="N640" s="0" t="s">
        <v>1098</v>
      </c>
      <c r="O640" s="0" t="s">
        <v>35</v>
      </c>
      <c r="P640" s="0" t="s">
        <v>527</v>
      </c>
      <c r="Q640" s="0" t="s">
        <v>2796</v>
      </c>
      <c r="R640" s="0" t="s">
        <v>2794</v>
      </c>
      <c r="S640" s="0" t="s">
        <v>1098</v>
      </c>
      <c r="T640" s="0">
        <f>HYPERLINK("https://storage.sslt.ae/ItemVariation/08DCF9B1-841A-4C16-8308-FA45846F8593/28A600AD-557E-4871-BCD7-41130CEB4EA5.jpg","Variant Image")</f>
      </c>
      <c r="U640" s="0">
        <f>HYPERLINK("https://ec-qa-storage.kldlms.com/Item/08DCF9B1-841A-4C16-8308-FA45846F8593/1510E20C-52B9-4859-BC8B-97E8DDE9096D.jpg","Thumbnail Image")</f>
      </c>
      <c r="V640" s="0">
        <f>HYPERLINK("https://ec-qa-storage.kldlms.com/ItemGallery/08DCF9B1-841A-4C16-8308-FA45846F8593/7CD49271-EB68-4550-8BC5-711CE5F2BB63.jpg","Gallery Image ")</f>
      </c>
      <c r="W640" s="0" t="s">
        <v>22</v>
      </c>
      <c r="X640" s="0" t="s">
        <v>2797</v>
      </c>
    </row>
    <row r="641">
      <c r="A641" s="0" t="s">
        <v>2798</v>
      </c>
      <c r="B641" s="0" t="s">
        <v>2798</v>
      </c>
      <c r="C641" s="0" t="s">
        <v>2799</v>
      </c>
      <c r="D641" s="0" t="s">
        <v>27</v>
      </c>
      <c r="E641" s="0" t="s">
        <v>2789</v>
      </c>
      <c r="F641" s="0" t="s">
        <v>557</v>
      </c>
      <c r="G641" s="0" t="s">
        <v>2798</v>
      </c>
      <c r="H641" s="0" t="s">
        <v>2798</v>
      </c>
      <c r="I641" s="0" t="s">
        <v>615</v>
      </c>
      <c r="J641" s="0" t="s">
        <v>615</v>
      </c>
      <c r="K641" s="0" t="s">
        <v>1118</v>
      </c>
      <c r="L641" s="0" t="s">
        <v>32</v>
      </c>
      <c r="M641" s="0" t="s">
        <v>33</v>
      </c>
      <c r="N641" s="0" t="s">
        <v>772</v>
      </c>
      <c r="O641" s="0" t="s">
        <v>35</v>
      </c>
      <c r="P641" s="0" t="s">
        <v>2800</v>
      </c>
      <c r="Q641" s="0" t="s">
        <v>2801</v>
      </c>
      <c r="R641" s="0" t="s">
        <v>2799</v>
      </c>
      <c r="S641" s="0" t="s">
        <v>772</v>
      </c>
      <c r="T641" s="0">
        <f>HYPERLINK("https://storage.sslt.ae/ItemVariation/08DCF9B1-846A-49C5-8947-E5B04AA1A666/04E2FBDF-A67C-44F1-82E8-9C30051D529C.jpg","Variant Image")</f>
      </c>
      <c r="U641" s="0">
        <f>HYPERLINK("https://ec-qa-storage.kldlms.com/Item/08DCF9B1-846A-49C5-8947-E5B04AA1A666/39C19FB4-03A2-47F9-A24B-1D610FEC7ECC.jpg","Thumbnail Image")</f>
      </c>
      <c r="V641" s="0">
        <f>HYPERLINK("https://ec-qa-storage.kldlms.com/ItemGallery/08DCF9B1-846A-49C5-8947-E5B04AA1A666/3977B346-FDBD-4C99-88EF-DAA218747FC1.jpg","Gallery Image ")</f>
      </c>
      <c r="W641" s="0" t="s">
        <v>22</v>
      </c>
      <c r="X641" s="0" t="s">
        <v>2802</v>
      </c>
    </row>
    <row r="642">
      <c r="A642" s="0" t="s">
        <v>2803</v>
      </c>
      <c r="B642" s="0" t="s">
        <v>2803</v>
      </c>
      <c r="C642" s="0" t="s">
        <v>2804</v>
      </c>
      <c r="D642" s="0" t="s">
        <v>27</v>
      </c>
      <c r="E642" s="0" t="s">
        <v>2789</v>
      </c>
      <c r="F642" s="0" t="s">
        <v>557</v>
      </c>
      <c r="G642" s="0" t="s">
        <v>2803</v>
      </c>
      <c r="H642" s="0" t="s">
        <v>2803</v>
      </c>
      <c r="I642" s="0" t="s">
        <v>615</v>
      </c>
      <c r="J642" s="0" t="s">
        <v>615</v>
      </c>
      <c r="K642" s="0" t="s">
        <v>2805</v>
      </c>
      <c r="L642" s="0" t="s">
        <v>32</v>
      </c>
      <c r="M642" s="0" t="s">
        <v>33</v>
      </c>
      <c r="N642" s="0" t="s">
        <v>404</v>
      </c>
      <c r="O642" s="0" t="s">
        <v>35</v>
      </c>
      <c r="P642" s="0" t="s">
        <v>527</v>
      </c>
      <c r="Q642" s="0" t="s">
        <v>2806</v>
      </c>
      <c r="R642" s="0" t="s">
        <v>2804</v>
      </c>
      <c r="S642" s="0" t="s">
        <v>404</v>
      </c>
      <c r="T642" s="0">
        <f>HYPERLINK("https://storage.sslt.ae/ItemVariation/08DCF9B1-84BC-4F79-8215-39444C82B484/67F2EB61-693C-479C-838D-99B271AC9643.jpg","Variant Image")</f>
      </c>
      <c r="U642" s="0">
        <f>HYPERLINK("https://ec-qa-storage.kldlms.com/Item/08DCF9B1-84BC-4F79-8215-39444C82B484/D9CB3D93-312D-45E7-BBBD-4F1505FA23D7.jpg","Thumbnail Image")</f>
      </c>
      <c r="V642" s="0">
        <f>HYPERLINK("https://ec-qa-storage.kldlms.com/ItemGallery/08DCF9B1-84BC-4F79-8215-39444C82B484/1BD06DC0-70F2-495A-A2FF-771909BCEE29.jpg","Gallery Image ")</f>
      </c>
      <c r="W642" s="0" t="s">
        <v>22</v>
      </c>
      <c r="X642" s="0" t="s">
        <v>2807</v>
      </c>
    </row>
    <row r="643">
      <c r="A643" s="0" t="s">
        <v>2808</v>
      </c>
      <c r="B643" s="0" t="s">
        <v>2808</v>
      </c>
      <c r="C643" s="0" t="s">
        <v>2809</v>
      </c>
      <c r="D643" s="0" t="s">
        <v>27</v>
      </c>
      <c r="E643" s="0" t="s">
        <v>2789</v>
      </c>
      <c r="F643" s="0" t="s">
        <v>557</v>
      </c>
      <c r="G643" s="0" t="s">
        <v>2808</v>
      </c>
      <c r="H643" s="0" t="s">
        <v>2808</v>
      </c>
      <c r="I643" s="0" t="s">
        <v>615</v>
      </c>
      <c r="J643" s="0" t="s">
        <v>615</v>
      </c>
      <c r="K643" s="0" t="s">
        <v>1115</v>
      </c>
      <c r="L643" s="0" t="s">
        <v>32</v>
      </c>
      <c r="M643" s="0" t="s">
        <v>33</v>
      </c>
      <c r="N643" s="0" t="s">
        <v>164</v>
      </c>
      <c r="O643" s="0" t="s">
        <v>35</v>
      </c>
      <c r="P643" s="0" t="s">
        <v>590</v>
      </c>
      <c r="Q643" s="0" t="s">
        <v>2810</v>
      </c>
      <c r="R643" s="0" t="s">
        <v>2809</v>
      </c>
      <c r="S643" s="0" t="s">
        <v>164</v>
      </c>
      <c r="T643" s="0">
        <f>HYPERLINK("https://storage.sslt.ae/ItemVariation/08DCF9B1-850F-4E5D-8AF8-BCA3C2A343E8/D14A5F51-D73F-4A94-AD72-3C84AE7DAD9A.jpg","Variant Image")</f>
      </c>
      <c r="U643" s="0">
        <f>HYPERLINK("https://ec-qa-storage.kldlms.com/Item/08DCF9B1-850F-4E5D-8AF8-BCA3C2A343E8/0E6375EF-49A7-4A59-9527-3EA071D8BCE8.jpg","Thumbnail Image")</f>
      </c>
      <c r="V643" s="0">
        <f>HYPERLINK("https://ec-qa-storage.kldlms.com/ItemGallery/08DCF9B1-850F-4E5D-8AF8-BCA3C2A343E8/273AE62A-6671-4167-A444-C04FCA7B3FA3.jpg","Gallery Image ")</f>
      </c>
      <c r="W643" s="0" t="s">
        <v>22</v>
      </c>
      <c r="X643" s="0" t="s">
        <v>2811</v>
      </c>
    </row>
    <row r="644">
      <c r="A644" s="0" t="s">
        <v>2812</v>
      </c>
      <c r="B644" s="0" t="s">
        <v>2812</v>
      </c>
      <c r="C644" s="0" t="s">
        <v>2813</v>
      </c>
      <c r="D644" s="0" t="s">
        <v>27</v>
      </c>
      <c r="E644" s="0" t="s">
        <v>2789</v>
      </c>
      <c r="F644" s="0" t="s">
        <v>557</v>
      </c>
      <c r="G644" s="0" t="s">
        <v>2812</v>
      </c>
      <c r="H644" s="0" t="s">
        <v>2812</v>
      </c>
      <c r="I644" s="0" t="s">
        <v>615</v>
      </c>
      <c r="J644" s="0" t="s">
        <v>615</v>
      </c>
      <c r="K644" s="0" t="s">
        <v>2814</v>
      </c>
      <c r="L644" s="0" t="s">
        <v>32</v>
      </c>
      <c r="M644" s="0" t="s">
        <v>33</v>
      </c>
      <c r="N644" s="0" t="s">
        <v>2815</v>
      </c>
      <c r="O644" s="0" t="s">
        <v>35</v>
      </c>
      <c r="P644" s="0" t="s">
        <v>1380</v>
      </c>
      <c r="Q644" s="0" t="s">
        <v>2816</v>
      </c>
      <c r="R644" s="0" t="s">
        <v>2813</v>
      </c>
      <c r="S644" s="0" t="s">
        <v>2815</v>
      </c>
      <c r="T644" s="0">
        <f>HYPERLINK("https://storage.sslt.ae/ItemVariation/08DCF9B1-8564-4F7F-8FEB-F3B2413DB8BA/EB39FAB2-CCEB-41CA-92A3-DB8756F8B31B.jpg","Variant Image")</f>
      </c>
      <c r="U644" s="0">
        <f>HYPERLINK("https://ec-qa-storage.kldlms.com/Item/08DCF9B1-8564-4F7F-8FEB-F3B2413DB8BA/9F01C2B3-C843-4F42-8548-D095B2AAFE88.jpg","Thumbnail Image")</f>
      </c>
      <c r="V644" s="0">
        <f>HYPERLINK("https://ec-qa-storage.kldlms.com/ItemGallery/08DCF9B1-8564-4F7F-8FEB-F3B2413DB8BA/B2A05AD3-6D6F-418B-8B87-F9B962629E07.jpg","Gallery Image ")</f>
      </c>
      <c r="W644" s="0" t="s">
        <v>22</v>
      </c>
      <c r="X644" s="0" t="s">
        <v>2817</v>
      </c>
    </row>
    <row r="645">
      <c r="A645" s="0" t="s">
        <v>2818</v>
      </c>
      <c r="B645" s="0" t="s">
        <v>2818</v>
      </c>
      <c r="C645" s="0" t="s">
        <v>2819</v>
      </c>
      <c r="D645" s="0" t="s">
        <v>27</v>
      </c>
      <c r="E645" s="0" t="s">
        <v>2789</v>
      </c>
      <c r="F645" s="0" t="s">
        <v>557</v>
      </c>
      <c r="G645" s="0" t="s">
        <v>2818</v>
      </c>
      <c r="H645" s="0" t="s">
        <v>2818</v>
      </c>
      <c r="I645" s="0" t="s">
        <v>615</v>
      </c>
      <c r="J645" s="0" t="s">
        <v>615</v>
      </c>
      <c r="K645" s="0" t="s">
        <v>2820</v>
      </c>
      <c r="L645" s="0" t="s">
        <v>32</v>
      </c>
      <c r="M645" s="0" t="s">
        <v>33</v>
      </c>
      <c r="N645" s="0" t="s">
        <v>337</v>
      </c>
      <c r="O645" s="0" t="s">
        <v>35</v>
      </c>
      <c r="P645" s="0" t="s">
        <v>1380</v>
      </c>
      <c r="Q645" s="0" t="s">
        <v>2821</v>
      </c>
      <c r="R645" s="0" t="s">
        <v>2819</v>
      </c>
      <c r="S645" s="0" t="s">
        <v>337</v>
      </c>
      <c r="T645" s="0">
        <f>HYPERLINK("https://storage.sslt.ae/ItemVariation/08DCF9B1-85B6-434F-805C-04B443B00118/ED5000AD-5449-4666-A011-59A928453781.jpg","Variant Image")</f>
      </c>
      <c r="U645" s="0">
        <f>HYPERLINK("https://ec-qa-storage.kldlms.com/Item/08DCF9B1-85B6-434F-805C-04B443B00118/761BCF24-963E-4881-AD19-BED64C7BB84C.jpg","Thumbnail Image")</f>
      </c>
      <c r="V645" s="0">
        <f>HYPERLINK("https://ec-qa-storage.kldlms.com/ItemGallery/08DCF9B1-85B6-434F-805C-04B443B00118/E0C77260-79EB-48C9-B306-8A205B6F9672.jpg","Gallery Image ")</f>
      </c>
      <c r="W645" s="0" t="s">
        <v>22</v>
      </c>
      <c r="X645" s="0" t="s">
        <v>2822</v>
      </c>
    </row>
    <row r="646">
      <c r="A646" s="0" t="s">
        <v>2823</v>
      </c>
      <c r="B646" s="0" t="s">
        <v>2823</v>
      </c>
      <c r="C646" s="0" t="s">
        <v>2824</v>
      </c>
      <c r="D646" s="0" t="s">
        <v>27</v>
      </c>
      <c r="E646" s="0" t="s">
        <v>2789</v>
      </c>
      <c r="F646" s="0" t="s">
        <v>557</v>
      </c>
      <c r="G646" s="0" t="s">
        <v>2823</v>
      </c>
      <c r="H646" s="0" t="s">
        <v>2823</v>
      </c>
      <c r="I646" s="0" t="s">
        <v>615</v>
      </c>
      <c r="J646" s="0" t="s">
        <v>615</v>
      </c>
      <c r="K646" s="0" t="s">
        <v>2825</v>
      </c>
      <c r="L646" s="0" t="s">
        <v>32</v>
      </c>
      <c r="M646" s="0" t="s">
        <v>33</v>
      </c>
      <c r="N646" s="0" t="s">
        <v>205</v>
      </c>
      <c r="O646" s="0" t="s">
        <v>35</v>
      </c>
      <c r="P646" s="0" t="s">
        <v>1380</v>
      </c>
      <c r="Q646" s="0" t="s">
        <v>2826</v>
      </c>
      <c r="R646" s="0" t="s">
        <v>2824</v>
      </c>
      <c r="S646" s="0" t="s">
        <v>205</v>
      </c>
      <c r="T646" s="0">
        <f>HYPERLINK("https://storage.sslt.ae/ItemVariation/08DCF9B1-8601-4862-81A5-8E150E4863A9/E6E8801E-84A3-4FA0-8B92-C6823755F8A0.jpg","Variant Image")</f>
      </c>
      <c r="U646" s="0">
        <f>HYPERLINK("https://ec-qa-storage.kldlms.com/Item/08DCF9B1-8601-4862-81A5-8E150E4863A9/DD9C826B-4E79-4D2F-A915-B850C9DA36DA.jpg","Thumbnail Image")</f>
      </c>
      <c r="V646" s="0">
        <f>HYPERLINK("https://ec-qa-storage.kldlms.com/ItemGallery/08DCF9B1-8601-4862-81A5-8E150E4863A9/56163328-8037-4B22-9C0E-00639FC52AC2.jpg","Gallery Image ")</f>
      </c>
      <c r="W646" s="0" t="s">
        <v>22</v>
      </c>
      <c r="X646" s="0" t="s">
        <v>2827</v>
      </c>
    </row>
    <row r="647">
      <c r="A647" s="0" t="s">
        <v>2828</v>
      </c>
      <c r="B647" s="0" t="s">
        <v>2828</v>
      </c>
      <c r="C647" s="0" t="s">
        <v>2829</v>
      </c>
      <c r="D647" s="0" t="s">
        <v>27</v>
      </c>
      <c r="E647" s="0" t="s">
        <v>2789</v>
      </c>
      <c r="F647" s="0" t="s">
        <v>557</v>
      </c>
      <c r="G647" s="0" t="s">
        <v>2828</v>
      </c>
      <c r="H647" s="0" t="s">
        <v>2828</v>
      </c>
      <c r="I647" s="0" t="s">
        <v>615</v>
      </c>
      <c r="J647" s="0" t="s">
        <v>615</v>
      </c>
      <c r="K647" s="0" t="s">
        <v>2830</v>
      </c>
      <c r="L647" s="0" t="s">
        <v>32</v>
      </c>
      <c r="M647" s="0" t="s">
        <v>33</v>
      </c>
      <c r="N647" s="0" t="s">
        <v>243</v>
      </c>
      <c r="O647" s="0" t="s">
        <v>35</v>
      </c>
      <c r="P647" s="0" t="s">
        <v>527</v>
      </c>
      <c r="Q647" s="0" t="s">
        <v>2831</v>
      </c>
      <c r="R647" s="0" t="s">
        <v>2829</v>
      </c>
      <c r="S647" s="0" t="s">
        <v>243</v>
      </c>
      <c r="T647" s="0">
        <f>HYPERLINK("https://storage.sslt.ae/ItemVariation/08DCF9B1-864D-480A-8AAB-DCD23E5AD862/358B552B-A87F-45F5-8D68-8A3F7564ED63.jpg","Variant Image")</f>
      </c>
      <c r="U647" s="0">
        <f>HYPERLINK("https://ec-qa-storage.kldlms.com/Item/08DCF9B1-864D-480A-8AAB-DCD23E5AD862/6B6F302B-EA5B-464E-9225-171BD671FEE2.jpg","Thumbnail Image")</f>
      </c>
      <c r="V647" s="0">
        <f>HYPERLINK("https://ec-qa-storage.kldlms.com/ItemGallery/08DCF9B1-864D-480A-8AAB-DCD23E5AD862/1718372A-BC62-44EA-9FE2-70F86CD9FBA2.jpg","Gallery Image ")</f>
      </c>
      <c r="W647" s="0" t="s">
        <v>22</v>
      </c>
      <c r="X647" s="0" t="s">
        <v>2832</v>
      </c>
    </row>
    <row r="648">
      <c r="A648" s="0" t="s">
        <v>2828</v>
      </c>
      <c r="B648" s="0" t="s">
        <v>2828</v>
      </c>
      <c r="C648" s="0" t="s">
        <v>2833</v>
      </c>
      <c r="D648" s="0" t="s">
        <v>27</v>
      </c>
      <c r="E648" s="0" t="s">
        <v>2789</v>
      </c>
      <c r="F648" s="0" t="s">
        <v>557</v>
      </c>
      <c r="G648" s="0" t="s">
        <v>2828</v>
      </c>
      <c r="H648" s="0" t="s">
        <v>2828</v>
      </c>
      <c r="I648" s="0" t="s">
        <v>615</v>
      </c>
      <c r="J648" s="0" t="s">
        <v>615</v>
      </c>
      <c r="K648" s="0" t="s">
        <v>2834</v>
      </c>
      <c r="L648" s="0" t="s">
        <v>32</v>
      </c>
      <c r="M648" s="0" t="s">
        <v>33</v>
      </c>
      <c r="N648" s="0" t="s">
        <v>100</v>
      </c>
      <c r="O648" s="0" t="s">
        <v>35</v>
      </c>
      <c r="P648" s="0" t="s">
        <v>590</v>
      </c>
      <c r="Q648" s="0" t="s">
        <v>2835</v>
      </c>
      <c r="R648" s="0" t="s">
        <v>2833</v>
      </c>
      <c r="S648" s="0" t="s">
        <v>100</v>
      </c>
      <c r="T648" s="0">
        <f>HYPERLINK("https://storage.sslt.ae/ItemVariation/08DCF9B1-8699-44A0-8766-9556F3807A22/EE7E5B35-FC75-4D29-9A6D-FBDCAAB5E057.jpg","Variant Image")</f>
      </c>
      <c r="U648" s="0">
        <f>HYPERLINK("https://ec-qa-storage.kldlms.com/Item/08DCF9B1-8699-44A0-8766-9556F3807A22/1B07941F-B7FB-4637-A391-A93B5B6847AE.jpg","Thumbnail Image")</f>
      </c>
      <c r="V648" s="0">
        <f>HYPERLINK("https://ec-qa-storage.kldlms.com/ItemGallery/08DCF9B1-8699-44A0-8766-9556F3807A22/C084A77B-09C5-48CE-962E-0454147EEEF0.jpg","Gallery Image ")</f>
      </c>
      <c r="W648" s="0" t="s">
        <v>22</v>
      </c>
      <c r="X648" s="0" t="s">
        <v>2836</v>
      </c>
    </row>
    <row r="649">
      <c r="A649" s="0" t="s">
        <v>2828</v>
      </c>
      <c r="B649" s="0" t="s">
        <v>2828</v>
      </c>
      <c r="C649" s="0" t="s">
        <v>2837</v>
      </c>
      <c r="D649" s="0" t="s">
        <v>27</v>
      </c>
      <c r="E649" s="0" t="s">
        <v>2789</v>
      </c>
      <c r="F649" s="0" t="s">
        <v>557</v>
      </c>
      <c r="G649" s="0" t="s">
        <v>2828</v>
      </c>
      <c r="H649" s="0" t="s">
        <v>2828</v>
      </c>
      <c r="I649" s="0" t="s">
        <v>615</v>
      </c>
      <c r="J649" s="0" t="s">
        <v>615</v>
      </c>
      <c r="K649" s="0" t="s">
        <v>2838</v>
      </c>
      <c r="L649" s="0" t="s">
        <v>32</v>
      </c>
      <c r="M649" s="0" t="s">
        <v>33</v>
      </c>
      <c r="N649" s="0" t="s">
        <v>266</v>
      </c>
      <c r="O649" s="0" t="s">
        <v>35</v>
      </c>
      <c r="P649" s="0" t="s">
        <v>527</v>
      </c>
      <c r="Q649" s="0" t="s">
        <v>2839</v>
      </c>
      <c r="R649" s="0" t="s">
        <v>2837</v>
      </c>
      <c r="S649" s="0" t="s">
        <v>266</v>
      </c>
      <c r="T649" s="0">
        <f>HYPERLINK("https://storage.sslt.ae/ItemVariation/08DCF9B1-86E5-4095-8A65-11F11F20F16B/934BA1B8-F8F9-46AC-9B08-378A5159BE4C.jpg","Variant Image")</f>
      </c>
      <c r="U649" s="0">
        <f>HYPERLINK("https://ec-qa-storage.kldlms.com/Item/08DCF9B1-86E5-4095-8A65-11F11F20F16B/92DFC51C-06A9-44B3-A950-A67B38032776.jpg","Thumbnail Image")</f>
      </c>
      <c r="V649" s="0">
        <f>HYPERLINK("https://ec-qa-storage.kldlms.com/ItemGallery/08DCF9B1-86E5-4095-8A65-11F11F20F16B/852878C9-EFC8-423E-9ADE-3F03F4B5D52A.jpg","Gallery Image ")</f>
      </c>
      <c r="W649" s="0" t="s">
        <v>22</v>
      </c>
      <c r="X649" s="0" t="s">
        <v>2840</v>
      </c>
    </row>
    <row r="650">
      <c r="A650" s="0" t="s">
        <v>2828</v>
      </c>
      <c r="B650" s="0" t="s">
        <v>2828</v>
      </c>
      <c r="C650" s="0" t="s">
        <v>2841</v>
      </c>
      <c r="D650" s="0" t="s">
        <v>27</v>
      </c>
      <c r="E650" s="0" t="s">
        <v>2789</v>
      </c>
      <c r="F650" s="0" t="s">
        <v>557</v>
      </c>
      <c r="G650" s="0" t="s">
        <v>2828</v>
      </c>
      <c r="H650" s="0" t="s">
        <v>2828</v>
      </c>
      <c r="I650" s="0" t="s">
        <v>615</v>
      </c>
      <c r="J650" s="0" t="s">
        <v>615</v>
      </c>
      <c r="K650" s="0" t="s">
        <v>2842</v>
      </c>
      <c r="L650" s="0" t="s">
        <v>32</v>
      </c>
      <c r="M650" s="0" t="s">
        <v>33</v>
      </c>
      <c r="N650" s="0" t="s">
        <v>2843</v>
      </c>
      <c r="O650" s="0" t="s">
        <v>35</v>
      </c>
      <c r="P650" s="0" t="s">
        <v>590</v>
      </c>
      <c r="Q650" s="0" t="s">
        <v>2844</v>
      </c>
      <c r="R650" s="0" t="s">
        <v>2841</v>
      </c>
      <c r="S650" s="0" t="s">
        <v>2843</v>
      </c>
      <c r="T650" s="0">
        <f>HYPERLINK("https://storage.sslt.ae/ItemVariation/08DCF9B1-872F-402E-8558-F01209E9F65D/13132275-3ABA-499E-B8FA-1AA5755B43C9.jpg","Variant Image")</f>
      </c>
      <c r="U650" s="0">
        <f>HYPERLINK("https://ec-qa-storage.kldlms.com/Item/08DCF9B1-872F-402E-8558-F01209E9F65D/7FADAE66-2D99-45C5-836D-C7C100C22CEF.jpg","Thumbnail Image")</f>
      </c>
      <c r="V650" s="0">
        <f>HYPERLINK("https://ec-qa-storage.kldlms.com/ItemGallery/08DCF9B1-872F-402E-8558-F01209E9F65D/B1A020DF-0B76-44DA-BF3E-4C7058D2DCC8.jpg","Gallery Image ")</f>
      </c>
      <c r="W650" s="0" t="s">
        <v>22</v>
      </c>
      <c r="X650" s="0" t="s">
        <v>2845</v>
      </c>
    </row>
    <row r="651">
      <c r="A651" s="0" t="s">
        <v>2808</v>
      </c>
      <c r="B651" s="0" t="s">
        <v>2808</v>
      </c>
      <c r="C651" s="0" t="s">
        <v>2846</v>
      </c>
      <c r="D651" s="0" t="s">
        <v>27</v>
      </c>
      <c r="E651" s="0" t="s">
        <v>2789</v>
      </c>
      <c r="F651" s="0" t="s">
        <v>557</v>
      </c>
      <c r="G651" s="0" t="s">
        <v>2808</v>
      </c>
      <c r="H651" s="0" t="s">
        <v>2808</v>
      </c>
      <c r="I651" s="0" t="s">
        <v>615</v>
      </c>
      <c r="J651" s="0" t="s">
        <v>615</v>
      </c>
      <c r="K651" s="0" t="s">
        <v>2847</v>
      </c>
      <c r="L651" s="0" t="s">
        <v>32</v>
      </c>
      <c r="M651" s="0" t="s">
        <v>33</v>
      </c>
      <c r="N651" s="0" t="s">
        <v>2848</v>
      </c>
      <c r="O651" s="0" t="s">
        <v>35</v>
      </c>
      <c r="P651" s="0" t="s">
        <v>527</v>
      </c>
      <c r="Q651" s="0" t="s">
        <v>2849</v>
      </c>
      <c r="R651" s="0" t="s">
        <v>2846</v>
      </c>
      <c r="S651" s="0" t="s">
        <v>2848</v>
      </c>
      <c r="T651" s="0">
        <f>HYPERLINK("https://storage.sslt.ae/ItemVariation/08DCF9B1-877A-4139-8F15-3EFB9CFEF41A/91179638-B67A-47F9-8952-1866821E4B55.jpg","Variant Image")</f>
      </c>
      <c r="U651" s="0">
        <f>HYPERLINK("https://ec-qa-storage.kldlms.com/Item/08DCF9B1-877A-4139-8F15-3EFB9CFEF41A/0D095801-8C62-48E4-AF6C-679A44B7D200.jpg","Thumbnail Image")</f>
      </c>
      <c r="V651" s="0">
        <f>HYPERLINK("https://ec-qa-storage.kldlms.com/ItemGallery/08DCF9B1-877A-4139-8F15-3EFB9CFEF41A/92E1E0FB-0F6F-4AA5-BC63-75343D3EE20B.jpg","Gallery Image ")</f>
      </c>
      <c r="W651" s="0" t="s">
        <v>22</v>
      </c>
      <c r="X651" s="0" t="s">
        <v>2850</v>
      </c>
    </row>
    <row r="652">
      <c r="A652" s="0" t="s">
        <v>1082</v>
      </c>
      <c r="B652" s="0" t="s">
        <v>1082</v>
      </c>
      <c r="C652" s="0" t="s">
        <v>613</v>
      </c>
      <c r="D652" s="0" t="s">
        <v>27</v>
      </c>
      <c r="E652" s="0" t="s">
        <v>614</v>
      </c>
      <c r="F652" s="0" t="s">
        <v>557</v>
      </c>
      <c r="G652" s="0" t="s">
        <v>1082</v>
      </c>
      <c r="H652" s="0" t="s">
        <v>1082</v>
      </c>
      <c r="I652" s="0" t="s">
        <v>615</v>
      </c>
      <c r="J652" s="0" t="s">
        <v>615</v>
      </c>
      <c r="K652" s="0" t="s">
        <v>2851</v>
      </c>
      <c r="L652" s="0" t="s">
        <v>32</v>
      </c>
      <c r="M652" s="0" t="s">
        <v>33</v>
      </c>
      <c r="N652" s="0" t="s">
        <v>32</v>
      </c>
      <c r="O652" s="0" t="s">
        <v>35</v>
      </c>
      <c r="P652" s="0" t="s">
        <v>996</v>
      </c>
      <c r="Q652" s="0" t="s">
        <v>2851</v>
      </c>
      <c r="R652" s="0" t="s">
        <v>2852</v>
      </c>
      <c r="S652" s="0" t="s">
        <v>32</v>
      </c>
      <c r="T652" s="0">
        <f>HYPERLINK("https://storage.sslt.ae/ItemVariation/08DCF9B1-AD66-4DA8-884B-E69154D67085/BF772EE1-6101-4F8B-AC7F-A160B9B0139C.jpg","Variant Image")</f>
      </c>
      <c r="U652" s="0">
        <f>HYPERLINK("https://ec-qa-storage.kldlms.com/Item/08DCF9B1-AD66-4DA8-884B-E69154D67085/488CC396-AFCC-4331-B571-368C44E37B28.jpg","Thumbnail Image")</f>
      </c>
      <c r="W652" s="0" t="s">
        <v>22</v>
      </c>
    </row>
    <row r="653">
      <c r="A653" s="0" t="s">
        <v>2853</v>
      </c>
      <c r="B653" s="0" t="s">
        <v>2853</v>
      </c>
      <c r="C653" s="0" t="s">
        <v>613</v>
      </c>
      <c r="D653" s="0" t="s">
        <v>27</v>
      </c>
      <c r="E653" s="0" t="s">
        <v>614</v>
      </c>
      <c r="F653" s="0" t="s">
        <v>557</v>
      </c>
      <c r="G653" s="0" t="s">
        <v>2853</v>
      </c>
      <c r="H653" s="0" t="s">
        <v>2853</v>
      </c>
      <c r="I653" s="0" t="s">
        <v>615</v>
      </c>
      <c r="J653" s="0" t="s">
        <v>615</v>
      </c>
      <c r="K653" s="0" t="s">
        <v>667</v>
      </c>
      <c r="L653" s="0" t="s">
        <v>32</v>
      </c>
      <c r="M653" s="0" t="s">
        <v>33</v>
      </c>
      <c r="N653" s="0" t="s">
        <v>32</v>
      </c>
      <c r="O653" s="0" t="s">
        <v>35</v>
      </c>
      <c r="P653" s="0" t="s">
        <v>1380</v>
      </c>
      <c r="Q653" s="0" t="s">
        <v>667</v>
      </c>
      <c r="R653" s="0" t="s">
        <v>1024</v>
      </c>
      <c r="S653" s="0" t="s">
        <v>32</v>
      </c>
      <c r="T653" s="0">
        <f>HYPERLINK("https://storage.sslt.ae/ItemVariation/08DCF9B1-AD89-48F2-8909-6A21DBE04FF6/CD92E53B-202F-4DEE-A8BC-5B4295892BED.jpg","Variant Image")</f>
      </c>
      <c r="U653" s="0">
        <f>HYPERLINK("https://ec-qa-storage.kldlms.com/Item/08DCF9B1-AD89-48F2-8909-6A21DBE04FF6/C03B8CEC-5CEE-4030-B638-D73B5A0F2B36.jpg","Thumbnail Image")</f>
      </c>
      <c r="W653" s="0" t="s">
        <v>22</v>
      </c>
    </row>
    <row r="654">
      <c r="A654" s="0" t="s">
        <v>2854</v>
      </c>
      <c r="B654" s="0" t="s">
        <v>2854</v>
      </c>
      <c r="C654" s="0" t="s">
        <v>613</v>
      </c>
      <c r="D654" s="0" t="s">
        <v>27</v>
      </c>
      <c r="E654" s="0" t="s">
        <v>614</v>
      </c>
      <c r="F654" s="0" t="s">
        <v>557</v>
      </c>
      <c r="G654" s="0" t="s">
        <v>2854</v>
      </c>
      <c r="H654" s="0" t="s">
        <v>2854</v>
      </c>
      <c r="I654" s="0" t="s">
        <v>615</v>
      </c>
      <c r="J654" s="0" t="s">
        <v>615</v>
      </c>
      <c r="K654" s="0" t="s">
        <v>2855</v>
      </c>
      <c r="L654" s="0" t="s">
        <v>32</v>
      </c>
      <c r="M654" s="0" t="s">
        <v>33</v>
      </c>
      <c r="N654" s="0" t="s">
        <v>32</v>
      </c>
      <c r="O654" s="0" t="s">
        <v>35</v>
      </c>
      <c r="P654" s="0" t="s">
        <v>527</v>
      </c>
      <c r="Q654" s="0" t="s">
        <v>2855</v>
      </c>
      <c r="R654" s="0" t="s">
        <v>2856</v>
      </c>
      <c r="S654" s="0" t="s">
        <v>32</v>
      </c>
      <c r="T654" s="0">
        <f>HYPERLINK("https://storage.sslt.ae/ItemVariation/08DCF9B1-ADA7-4696-8721-2FFBB300F77C/B528DC22-8E81-4288-BB46-16E33FF89691.jpg","Variant Image")</f>
      </c>
      <c r="U654" s="0">
        <f>HYPERLINK("https://ec-qa-storage.kldlms.com/Item/08DCF9B1-ADA7-4696-8721-2FFBB300F77C/B4D51812-0723-41AC-AA7C-503BB00D20B6.jpg","Thumbnail Image")</f>
      </c>
      <c r="W654" s="0" t="s">
        <v>22</v>
      </c>
    </row>
    <row r="655">
      <c r="A655" s="0" t="s">
        <v>2857</v>
      </c>
      <c r="B655" s="0" t="s">
        <v>2857</v>
      </c>
      <c r="C655" s="0" t="s">
        <v>613</v>
      </c>
      <c r="D655" s="0" t="s">
        <v>27</v>
      </c>
      <c r="E655" s="0" t="s">
        <v>614</v>
      </c>
      <c r="F655" s="0" t="s">
        <v>557</v>
      </c>
      <c r="G655" s="0" t="s">
        <v>2857</v>
      </c>
      <c r="H655" s="0" t="s">
        <v>2857</v>
      </c>
      <c r="I655" s="0" t="s">
        <v>615</v>
      </c>
      <c r="J655" s="0" t="s">
        <v>615</v>
      </c>
      <c r="K655" s="0" t="s">
        <v>2858</v>
      </c>
      <c r="L655" s="0" t="s">
        <v>32</v>
      </c>
      <c r="M655" s="0" t="s">
        <v>33</v>
      </c>
      <c r="N655" s="0" t="s">
        <v>32</v>
      </c>
      <c r="O655" s="0" t="s">
        <v>35</v>
      </c>
      <c r="P655" s="0" t="s">
        <v>1380</v>
      </c>
      <c r="Q655" s="0" t="s">
        <v>2858</v>
      </c>
      <c r="R655" s="0" t="s">
        <v>2859</v>
      </c>
      <c r="S655" s="0" t="s">
        <v>32</v>
      </c>
      <c r="T655" s="0">
        <f>HYPERLINK("https://storage.sslt.ae/ItemVariation/08DCF9B1-ADB3-4F2C-8DF3-B6A9ED4A3BAF/3BA70926-C8F8-465E-A52F-D8739BD0C156.jpg","Variant Image")</f>
      </c>
      <c r="U655" s="0">
        <f>HYPERLINK("https://ec-qa-storage.kldlms.com/Item/08DCF9B1-ADB3-4F2C-8DF3-B6A9ED4A3BAF/8D81860D-8DA2-4392-8661-CDFD53CA802D.jpg","Thumbnail Image")</f>
      </c>
      <c r="W655" s="0" t="s">
        <v>22</v>
      </c>
    </row>
    <row r="656">
      <c r="A656" s="0" t="s">
        <v>2860</v>
      </c>
      <c r="B656" s="0" t="s">
        <v>2860</v>
      </c>
      <c r="C656" s="0" t="s">
        <v>613</v>
      </c>
      <c r="D656" s="0" t="s">
        <v>27</v>
      </c>
      <c r="E656" s="0" t="s">
        <v>614</v>
      </c>
      <c r="F656" s="0" t="s">
        <v>557</v>
      </c>
      <c r="G656" s="0" t="s">
        <v>2860</v>
      </c>
      <c r="H656" s="0" t="s">
        <v>2860</v>
      </c>
      <c r="I656" s="0" t="s">
        <v>615</v>
      </c>
      <c r="J656" s="0" t="s">
        <v>615</v>
      </c>
      <c r="K656" s="0" t="s">
        <v>2861</v>
      </c>
      <c r="L656" s="0" t="s">
        <v>32</v>
      </c>
      <c r="M656" s="0" t="s">
        <v>33</v>
      </c>
      <c r="N656" s="0" t="s">
        <v>32</v>
      </c>
      <c r="O656" s="0" t="s">
        <v>35</v>
      </c>
      <c r="P656" s="0" t="s">
        <v>1323</v>
      </c>
      <c r="Q656" s="0" t="s">
        <v>2861</v>
      </c>
      <c r="R656" s="0" t="s">
        <v>2862</v>
      </c>
      <c r="S656" s="0" t="s">
        <v>32</v>
      </c>
      <c r="T656" s="0">
        <f>HYPERLINK("https://storage.sslt.ae/ItemVariation/08DCF9B1-ADD8-442A-8E65-37DE052ACDDD/CBCCD30C-AC8D-4489-83F0-9D973B1753A0.jpg","Variant Image")</f>
      </c>
      <c r="U656" s="0">
        <f>HYPERLINK("https://ec-qa-storage.kldlms.com/Item/08DCF9B1-ADD8-442A-8E65-37DE052ACDDD/F94B2E81-5309-49BD-B5B6-22837F8894AA.jpg","Thumbnail Image")</f>
      </c>
      <c r="W656" s="0" t="s">
        <v>22</v>
      </c>
    </row>
    <row r="657">
      <c r="A657" s="0" t="s">
        <v>2863</v>
      </c>
      <c r="B657" s="0" t="s">
        <v>2863</v>
      </c>
      <c r="C657" s="0" t="s">
        <v>613</v>
      </c>
      <c r="D657" s="0" t="s">
        <v>27</v>
      </c>
      <c r="E657" s="0" t="s">
        <v>614</v>
      </c>
      <c r="F657" s="0" t="s">
        <v>557</v>
      </c>
      <c r="G657" s="0" t="s">
        <v>2863</v>
      </c>
      <c r="H657" s="0" t="s">
        <v>2863</v>
      </c>
      <c r="I657" s="0" t="s">
        <v>615</v>
      </c>
      <c r="J657" s="0" t="s">
        <v>615</v>
      </c>
      <c r="K657" s="0" t="s">
        <v>2864</v>
      </c>
      <c r="L657" s="0" t="s">
        <v>32</v>
      </c>
      <c r="M657" s="0" t="s">
        <v>33</v>
      </c>
      <c r="N657" s="0" t="s">
        <v>32</v>
      </c>
      <c r="O657" s="0" t="s">
        <v>35</v>
      </c>
      <c r="P657" s="0" t="s">
        <v>1380</v>
      </c>
      <c r="Q657" s="0" t="s">
        <v>2864</v>
      </c>
      <c r="R657" s="0" t="s">
        <v>2865</v>
      </c>
      <c r="S657" s="0" t="s">
        <v>32</v>
      </c>
      <c r="T657" s="0">
        <f>HYPERLINK("https://storage.sslt.ae/ItemVariation/08DCF9B1-ADE9-4916-8267-728C954233C2/B09A0AF9-78D1-4104-8207-DD3432FDCAE0.jpg","Variant Image")</f>
      </c>
      <c r="U657" s="0">
        <f>HYPERLINK("https://ec-qa-storage.kldlms.com/Item/08DCF9B1-ADE9-4916-8267-728C954233C2/312486A0-8E38-44F8-B6C2-63662064CCC6.jpg","Thumbnail Image")</f>
      </c>
      <c r="W657" s="0" t="s">
        <v>22</v>
      </c>
    </row>
    <row r="658">
      <c r="A658" s="0" t="s">
        <v>2866</v>
      </c>
      <c r="B658" s="0" t="s">
        <v>2866</v>
      </c>
      <c r="C658" s="0" t="s">
        <v>613</v>
      </c>
      <c r="D658" s="0" t="s">
        <v>27</v>
      </c>
      <c r="E658" s="0" t="s">
        <v>614</v>
      </c>
      <c r="F658" s="0" t="s">
        <v>557</v>
      </c>
      <c r="G658" s="0" t="s">
        <v>2866</v>
      </c>
      <c r="H658" s="0" t="s">
        <v>2866</v>
      </c>
      <c r="I658" s="0" t="s">
        <v>615</v>
      </c>
      <c r="J658" s="0" t="s">
        <v>615</v>
      </c>
      <c r="K658" s="0" t="s">
        <v>2867</v>
      </c>
      <c r="L658" s="0" t="s">
        <v>32</v>
      </c>
      <c r="M658" s="0" t="s">
        <v>33</v>
      </c>
      <c r="N658" s="0" t="s">
        <v>32</v>
      </c>
      <c r="O658" s="0" t="s">
        <v>35</v>
      </c>
      <c r="P658" s="0" t="s">
        <v>1380</v>
      </c>
      <c r="Q658" s="0" t="s">
        <v>2867</v>
      </c>
      <c r="R658" s="0" t="s">
        <v>2868</v>
      </c>
      <c r="S658" s="0" t="s">
        <v>32</v>
      </c>
      <c r="T658" s="0">
        <f>HYPERLINK("https://storage.sslt.ae/ItemVariation/08DCF9B1-ADFA-40EF-82E9-A88E69B29874/D72BB9C7-14AC-400E-A1A5-6CD53978288E.jpg","Variant Image")</f>
      </c>
      <c r="U658" s="0">
        <f>HYPERLINK("https://ec-qa-storage.kldlms.com/Item/08DCF9B1-ADFA-40EF-82E9-A88E69B29874/E40FB273-01E1-4C4D-8D04-4CB53BBBDA58.jpg","Thumbnail Image")</f>
      </c>
      <c r="W658" s="0" t="s">
        <v>22</v>
      </c>
    </row>
    <row r="659">
      <c r="A659" s="0" t="s">
        <v>2869</v>
      </c>
      <c r="B659" s="0" t="s">
        <v>2869</v>
      </c>
      <c r="C659" s="0" t="s">
        <v>613</v>
      </c>
      <c r="D659" s="0" t="s">
        <v>27</v>
      </c>
      <c r="E659" s="0" t="s">
        <v>614</v>
      </c>
      <c r="F659" s="0" t="s">
        <v>557</v>
      </c>
      <c r="G659" s="0" t="s">
        <v>2869</v>
      </c>
      <c r="H659" s="0" t="s">
        <v>2869</v>
      </c>
      <c r="I659" s="0" t="s">
        <v>615</v>
      </c>
      <c r="J659" s="0" t="s">
        <v>615</v>
      </c>
      <c r="K659" s="0" t="s">
        <v>2870</v>
      </c>
      <c r="L659" s="0" t="s">
        <v>32</v>
      </c>
      <c r="M659" s="0" t="s">
        <v>33</v>
      </c>
      <c r="N659" s="0" t="s">
        <v>32</v>
      </c>
      <c r="O659" s="0" t="s">
        <v>35</v>
      </c>
      <c r="P659" s="0" t="s">
        <v>1380</v>
      </c>
      <c r="Q659" s="0" t="s">
        <v>2870</v>
      </c>
      <c r="R659" s="0" t="s">
        <v>2871</v>
      </c>
      <c r="S659" s="0" t="s">
        <v>32</v>
      </c>
      <c r="T659" s="0">
        <f>HYPERLINK("https://storage.sslt.ae/ItemVariation/08DCF9B1-AE0C-4C87-8860-C13385B1F084/9D8FC334-6E28-4683-992A-E83F75D6D964.jpg","Variant Image")</f>
      </c>
      <c r="U659" s="0">
        <f>HYPERLINK("https://ec-qa-storage.kldlms.com/Item/08DCF9B1-AE0C-4C87-8860-C13385B1F084/A0A45681-30E9-427C-97A1-782D88B597F6.jpg","Thumbnail Image")</f>
      </c>
      <c r="W659" s="0" t="s">
        <v>22</v>
      </c>
    </row>
    <row r="660">
      <c r="A660" s="0" t="s">
        <v>2872</v>
      </c>
      <c r="B660" s="0" t="s">
        <v>2872</v>
      </c>
      <c r="C660" s="0" t="s">
        <v>613</v>
      </c>
      <c r="D660" s="0" t="s">
        <v>27</v>
      </c>
      <c r="E660" s="0" t="s">
        <v>614</v>
      </c>
      <c r="F660" s="0" t="s">
        <v>557</v>
      </c>
      <c r="G660" s="0" t="s">
        <v>2872</v>
      </c>
      <c r="H660" s="0" t="s">
        <v>2872</v>
      </c>
      <c r="I660" s="0" t="s">
        <v>615</v>
      </c>
      <c r="J660" s="0" t="s">
        <v>615</v>
      </c>
      <c r="K660" s="0" t="s">
        <v>2873</v>
      </c>
      <c r="L660" s="0" t="s">
        <v>32</v>
      </c>
      <c r="M660" s="0" t="s">
        <v>33</v>
      </c>
      <c r="N660" s="0" t="s">
        <v>32</v>
      </c>
      <c r="O660" s="0" t="s">
        <v>35</v>
      </c>
      <c r="P660" s="0" t="s">
        <v>1380</v>
      </c>
      <c r="Q660" s="0" t="s">
        <v>2873</v>
      </c>
      <c r="R660" s="0" t="s">
        <v>2874</v>
      </c>
      <c r="S660" s="0" t="s">
        <v>32</v>
      </c>
      <c r="T660" s="0">
        <f>HYPERLINK("https://storage.sslt.ae/ItemVariation/08DCF9B1-AE1F-4364-84B9-105105DA744F/764CB25D-2DF0-4897-9405-4597AA7D58B4.jpg","Variant Image")</f>
      </c>
      <c r="U660" s="0">
        <f>HYPERLINK("https://ec-qa-storage.kldlms.com/Item/08DCF9B1-AE1F-4364-84B9-105105DA744F/3117A922-A26B-4411-A2AE-B95E84BD3C1B.jpg","Thumbnail Image")</f>
      </c>
      <c r="W660" s="0" t="s">
        <v>22</v>
      </c>
    </row>
    <row r="661">
      <c r="A661" s="0" t="s">
        <v>2860</v>
      </c>
      <c r="B661" s="0" t="s">
        <v>2860</v>
      </c>
      <c r="C661" s="0" t="s">
        <v>613</v>
      </c>
      <c r="D661" s="0" t="s">
        <v>27</v>
      </c>
      <c r="E661" s="0" t="s">
        <v>614</v>
      </c>
      <c r="F661" s="0" t="s">
        <v>557</v>
      </c>
      <c r="G661" s="0" t="s">
        <v>2860</v>
      </c>
      <c r="H661" s="0" t="s">
        <v>2860</v>
      </c>
      <c r="I661" s="0" t="s">
        <v>615</v>
      </c>
      <c r="J661" s="0" t="s">
        <v>615</v>
      </c>
      <c r="K661" s="0" t="s">
        <v>2875</v>
      </c>
      <c r="L661" s="0" t="s">
        <v>32</v>
      </c>
      <c r="M661" s="0" t="s">
        <v>33</v>
      </c>
      <c r="N661" s="0" t="s">
        <v>32</v>
      </c>
      <c r="O661" s="0" t="s">
        <v>35</v>
      </c>
      <c r="P661" s="0" t="s">
        <v>1323</v>
      </c>
      <c r="Q661" s="0" t="s">
        <v>2875</v>
      </c>
      <c r="R661" s="0" t="s">
        <v>2876</v>
      </c>
      <c r="S661" s="0" t="s">
        <v>32</v>
      </c>
      <c r="T661" s="0">
        <f>HYPERLINK("https://storage.sslt.ae/ItemVariation/08DCF9B1-AE38-4E53-8D9E-387646EE11DD/5E78E86B-7282-4C8D-98C7-5DA8F571448C.jpg","Variant Image")</f>
      </c>
      <c r="U661" s="0">
        <f>HYPERLINK("https://ec-qa-storage.kldlms.com/Item/08DCF9B1-AE38-4E53-8D9E-387646EE11DD/62BA79A9-D3CF-4055-B5A9-F279923C67D7.jpg","Thumbnail Image")</f>
      </c>
      <c r="W661" s="0" t="s">
        <v>22</v>
      </c>
    </row>
    <row r="662">
      <c r="A662" s="0" t="s">
        <v>2877</v>
      </c>
      <c r="B662" s="0" t="s">
        <v>2877</v>
      </c>
      <c r="C662" s="0" t="s">
        <v>613</v>
      </c>
      <c r="D662" s="0" t="s">
        <v>27</v>
      </c>
      <c r="E662" s="0" t="s">
        <v>614</v>
      </c>
      <c r="F662" s="0" t="s">
        <v>557</v>
      </c>
      <c r="G662" s="0" t="s">
        <v>2877</v>
      </c>
      <c r="H662" s="0" t="s">
        <v>2877</v>
      </c>
      <c r="I662" s="0" t="s">
        <v>615</v>
      </c>
      <c r="J662" s="0" t="s">
        <v>615</v>
      </c>
      <c r="K662" s="0" t="s">
        <v>2878</v>
      </c>
      <c r="L662" s="0" t="s">
        <v>32</v>
      </c>
      <c r="M662" s="0" t="s">
        <v>33</v>
      </c>
      <c r="N662" s="0" t="s">
        <v>32</v>
      </c>
      <c r="O662" s="0" t="s">
        <v>35</v>
      </c>
      <c r="P662" s="0" t="s">
        <v>1323</v>
      </c>
      <c r="Q662" s="0" t="s">
        <v>2878</v>
      </c>
      <c r="R662" s="0" t="s">
        <v>2879</v>
      </c>
      <c r="S662" s="0" t="s">
        <v>32</v>
      </c>
      <c r="T662" s="0">
        <f>HYPERLINK("https://storage.sslt.ae/ItemVariation/08DCF9B1-AE73-46F7-8EBE-40EDA51F1413/1AA65E03-38F4-40F7-B775-6BF8B54CBC16.jpg","Variant Image")</f>
      </c>
      <c r="U662" s="0">
        <f>HYPERLINK("https://ec-qa-storage.kldlms.com/Item/08DCF9B1-AE73-46F7-8EBE-40EDA51F1413/D20B3D50-9ABC-461C-B1CA-27839E124BDF.jpg","Thumbnail Image")</f>
      </c>
      <c r="W662" s="0" t="s">
        <v>22</v>
      </c>
    </row>
    <row r="663">
      <c r="A663" s="0" t="s">
        <v>2860</v>
      </c>
      <c r="B663" s="0" t="s">
        <v>2860</v>
      </c>
      <c r="C663" s="0" t="s">
        <v>613</v>
      </c>
      <c r="D663" s="0" t="s">
        <v>27</v>
      </c>
      <c r="E663" s="0" t="s">
        <v>614</v>
      </c>
      <c r="F663" s="0" t="s">
        <v>557</v>
      </c>
      <c r="G663" s="0" t="s">
        <v>2860</v>
      </c>
      <c r="H663" s="0" t="s">
        <v>2860</v>
      </c>
      <c r="I663" s="0" t="s">
        <v>615</v>
      </c>
      <c r="J663" s="0" t="s">
        <v>615</v>
      </c>
      <c r="K663" s="0" t="s">
        <v>2880</v>
      </c>
      <c r="L663" s="0" t="s">
        <v>32</v>
      </c>
      <c r="M663" s="0" t="s">
        <v>33</v>
      </c>
      <c r="N663" s="0" t="s">
        <v>32</v>
      </c>
      <c r="O663" s="0" t="s">
        <v>35</v>
      </c>
      <c r="P663" s="0" t="s">
        <v>527</v>
      </c>
      <c r="Q663" s="0" t="s">
        <v>2880</v>
      </c>
      <c r="R663" s="0" t="s">
        <v>2881</v>
      </c>
      <c r="S663" s="0" t="s">
        <v>32</v>
      </c>
      <c r="T663" s="0">
        <f>HYPERLINK("https://storage.sslt.ae/ItemVariation/08DCF9B1-AE90-4E74-84E8-06529D6089FB/F532AF06-F873-44ED-84B0-AB628C1AC254.jpg","Variant Image")</f>
      </c>
      <c r="U663" s="0">
        <f>HYPERLINK("https://ec-qa-storage.kldlms.com/Item/08DCF9B1-AE90-4E74-84E8-06529D6089FB/DA42FD6C-B19B-4338-90B4-821850C4AB6A.jpg","Thumbnail Image")</f>
      </c>
      <c r="W663" s="0" t="s">
        <v>22</v>
      </c>
    </row>
    <row r="664">
      <c r="A664" s="0" t="s">
        <v>2860</v>
      </c>
      <c r="B664" s="0" t="s">
        <v>2860</v>
      </c>
      <c r="C664" s="0" t="s">
        <v>613</v>
      </c>
      <c r="D664" s="0" t="s">
        <v>27</v>
      </c>
      <c r="E664" s="0" t="s">
        <v>614</v>
      </c>
      <c r="F664" s="0" t="s">
        <v>557</v>
      </c>
      <c r="G664" s="0" t="s">
        <v>2860</v>
      </c>
      <c r="H664" s="0" t="s">
        <v>2860</v>
      </c>
      <c r="I664" s="0" t="s">
        <v>615</v>
      </c>
      <c r="J664" s="0" t="s">
        <v>615</v>
      </c>
      <c r="K664" s="0" t="s">
        <v>2882</v>
      </c>
      <c r="L664" s="0" t="s">
        <v>32</v>
      </c>
      <c r="M664" s="0" t="s">
        <v>33</v>
      </c>
      <c r="N664" s="0" t="s">
        <v>32</v>
      </c>
      <c r="O664" s="0" t="s">
        <v>35</v>
      </c>
      <c r="P664" s="0" t="s">
        <v>1323</v>
      </c>
      <c r="Q664" s="0" t="s">
        <v>2882</v>
      </c>
      <c r="R664" s="0" t="s">
        <v>2883</v>
      </c>
      <c r="S664" s="0" t="s">
        <v>32</v>
      </c>
      <c r="T664" s="0">
        <f>HYPERLINK("https://storage.sslt.ae/ItemVariation/08DCF9B1-AEAD-4D38-8EE9-2C4C7E5D2096/5074C574-BD17-406C-B50D-301C42DE2B1B.jpg","Variant Image")</f>
      </c>
      <c r="U664" s="0">
        <f>HYPERLINK("https://ec-qa-storage.kldlms.com/Item/08DCF9B1-AEAD-4D38-8EE9-2C4C7E5D2096/A1EE110D-4C25-4F98-8C56-DB7AA9E99C8D.jpg","Thumbnail Image")</f>
      </c>
      <c r="W664" s="0" t="s">
        <v>22</v>
      </c>
    </row>
    <row r="665">
      <c r="A665" s="0" t="s">
        <v>2884</v>
      </c>
      <c r="B665" s="0" t="s">
        <v>2884</v>
      </c>
      <c r="C665" s="0" t="s">
        <v>613</v>
      </c>
      <c r="D665" s="0" t="s">
        <v>27</v>
      </c>
      <c r="E665" s="0" t="s">
        <v>614</v>
      </c>
      <c r="F665" s="0" t="s">
        <v>557</v>
      </c>
      <c r="G665" s="0" t="s">
        <v>2884</v>
      </c>
      <c r="H665" s="0" t="s">
        <v>2884</v>
      </c>
      <c r="I665" s="0" t="s">
        <v>615</v>
      </c>
      <c r="J665" s="0" t="s">
        <v>615</v>
      </c>
      <c r="K665" s="0" t="s">
        <v>2885</v>
      </c>
      <c r="L665" s="0" t="s">
        <v>32</v>
      </c>
      <c r="M665" s="0" t="s">
        <v>33</v>
      </c>
      <c r="N665" s="0" t="s">
        <v>32</v>
      </c>
      <c r="O665" s="0" t="s">
        <v>35</v>
      </c>
      <c r="P665" s="0" t="s">
        <v>527</v>
      </c>
      <c r="Q665" s="0" t="s">
        <v>2885</v>
      </c>
      <c r="R665" s="0" t="s">
        <v>2886</v>
      </c>
      <c r="S665" s="0" t="s">
        <v>32</v>
      </c>
      <c r="T665" s="0">
        <f>HYPERLINK("https://storage.sslt.ae/ItemVariation/08DCF9B1-AEC9-424D-85AD-D8817EF95FB5/4B9FD0B0-9C9E-43FB-80C5-6B1BC6655893.jpg","Variant Image")</f>
      </c>
      <c r="U665" s="0">
        <f>HYPERLINK("https://ec-qa-storage.kldlms.com/Item/08DCF9B1-AEC9-424D-85AD-D8817EF95FB5/403C3456-0CDB-49C5-9D18-F20A8144025E.jpg","Thumbnail Image")</f>
      </c>
      <c r="W665" s="0" t="s">
        <v>22</v>
      </c>
    </row>
    <row r="666">
      <c r="A666" s="0" t="s">
        <v>2887</v>
      </c>
      <c r="B666" s="0" t="s">
        <v>2887</v>
      </c>
      <c r="C666" s="0" t="s">
        <v>613</v>
      </c>
      <c r="D666" s="0" t="s">
        <v>27</v>
      </c>
      <c r="E666" s="0" t="s">
        <v>614</v>
      </c>
      <c r="F666" s="0" t="s">
        <v>557</v>
      </c>
      <c r="G666" s="0" t="s">
        <v>2887</v>
      </c>
      <c r="H666" s="0" t="s">
        <v>2887</v>
      </c>
      <c r="I666" s="0" t="s">
        <v>615</v>
      </c>
      <c r="J666" s="0" t="s">
        <v>615</v>
      </c>
      <c r="K666" s="0" t="s">
        <v>2888</v>
      </c>
      <c r="L666" s="0" t="s">
        <v>32</v>
      </c>
      <c r="M666" s="0" t="s">
        <v>33</v>
      </c>
      <c r="N666" s="0" t="s">
        <v>32</v>
      </c>
      <c r="O666" s="0" t="s">
        <v>35</v>
      </c>
      <c r="P666" s="0" t="s">
        <v>1312</v>
      </c>
      <c r="Q666" s="0" t="s">
        <v>2888</v>
      </c>
      <c r="R666" s="0" t="s">
        <v>1103</v>
      </c>
      <c r="S666" s="0" t="s">
        <v>32</v>
      </c>
      <c r="T666" s="0">
        <f>HYPERLINK("https://storage.sslt.ae/ItemVariation/08DCF9B1-AED9-425F-82E4-4F5017793492/65174DB8-A582-4FB4-B92B-8C8568BB5626.jpg","Variant Image")</f>
      </c>
      <c r="U666" s="0">
        <f>HYPERLINK("https://ec-qa-storage.kldlms.com/Item/08DCF9B1-AED9-425F-82E4-4F5017793492/ADFE3218-7A37-4C06-AF59-664C6FB8BAF9.jpg","Thumbnail Image")</f>
      </c>
      <c r="W666" s="0" t="s">
        <v>22</v>
      </c>
    </row>
    <row r="667">
      <c r="A667" s="0" t="s">
        <v>2889</v>
      </c>
      <c r="B667" s="0" t="s">
        <v>2889</v>
      </c>
      <c r="C667" s="0" t="s">
        <v>613</v>
      </c>
      <c r="D667" s="0" t="s">
        <v>27</v>
      </c>
      <c r="E667" s="0" t="s">
        <v>614</v>
      </c>
      <c r="F667" s="0" t="s">
        <v>557</v>
      </c>
      <c r="G667" s="0" t="s">
        <v>2889</v>
      </c>
      <c r="H667" s="0" t="s">
        <v>2889</v>
      </c>
      <c r="I667" s="0" t="s">
        <v>615</v>
      </c>
      <c r="J667" s="0" t="s">
        <v>615</v>
      </c>
      <c r="K667" s="0" t="s">
        <v>2890</v>
      </c>
      <c r="L667" s="0" t="s">
        <v>32</v>
      </c>
      <c r="M667" s="0" t="s">
        <v>33</v>
      </c>
      <c r="N667" s="0" t="s">
        <v>32</v>
      </c>
      <c r="O667" s="0" t="s">
        <v>35</v>
      </c>
      <c r="P667" s="0" t="s">
        <v>1380</v>
      </c>
      <c r="Q667" s="0" t="s">
        <v>2890</v>
      </c>
      <c r="R667" s="0" t="s">
        <v>2891</v>
      </c>
      <c r="S667" s="0" t="s">
        <v>32</v>
      </c>
      <c r="T667" s="0">
        <f>HYPERLINK("https://storage.sslt.ae/ItemVariation/08DCF9B1-AEE3-4B63-80A8-A2078B33C926/7D1968A3-034C-4789-898B-4E1494284F87.jpg","Variant Image")</f>
      </c>
      <c r="U667" s="0">
        <f>HYPERLINK("https://ec-qa-storage.kldlms.com/Item/08DCF9B1-AEE3-4B63-80A8-A2078B33C926/5AF21A41-731F-438F-9972-9ECFCD691EC1.jpg","Thumbnail Image")</f>
      </c>
      <c r="W667" s="0" t="s">
        <v>22</v>
      </c>
    </row>
    <row r="668">
      <c r="A668" s="0" t="s">
        <v>2892</v>
      </c>
      <c r="B668" s="0" t="s">
        <v>2892</v>
      </c>
      <c r="C668" s="0" t="s">
        <v>613</v>
      </c>
      <c r="D668" s="0" t="s">
        <v>27</v>
      </c>
      <c r="E668" s="0" t="s">
        <v>614</v>
      </c>
      <c r="F668" s="0" t="s">
        <v>557</v>
      </c>
      <c r="G668" s="0" t="s">
        <v>2892</v>
      </c>
      <c r="H668" s="0" t="s">
        <v>2892</v>
      </c>
      <c r="I668" s="0" t="s">
        <v>615</v>
      </c>
      <c r="J668" s="0" t="s">
        <v>615</v>
      </c>
      <c r="K668" s="0" t="s">
        <v>2893</v>
      </c>
      <c r="L668" s="0" t="s">
        <v>32</v>
      </c>
      <c r="M668" s="0" t="s">
        <v>33</v>
      </c>
      <c r="N668" s="0" t="s">
        <v>32</v>
      </c>
      <c r="O668" s="0" t="s">
        <v>35</v>
      </c>
      <c r="P668" s="0" t="s">
        <v>527</v>
      </c>
      <c r="Q668" s="0" t="s">
        <v>2893</v>
      </c>
      <c r="R668" s="0" t="s">
        <v>2894</v>
      </c>
      <c r="S668" s="0" t="s">
        <v>32</v>
      </c>
      <c r="T668" s="0">
        <f>HYPERLINK("https://storage.sslt.ae/ItemVariation/08DCF9B1-AEFA-4323-8A3A-B08E41102A58/04C42890-D756-44BB-B6C9-A224289D17BD.jpg","Variant Image")</f>
      </c>
      <c r="U668" s="0">
        <f>HYPERLINK("https://ec-qa-storage.kldlms.com/Item/08DCF9B1-AEFA-4323-8A3A-B08E41102A58/053C26E9-91D8-48F6-B1EC-133DCD6DFFDB.jpg","Thumbnail Image")</f>
      </c>
      <c r="W668" s="0" t="s">
        <v>22</v>
      </c>
    </row>
    <row r="669">
      <c r="A669" s="0" t="s">
        <v>2892</v>
      </c>
      <c r="B669" s="0" t="s">
        <v>2892</v>
      </c>
      <c r="C669" s="0" t="s">
        <v>613</v>
      </c>
      <c r="D669" s="0" t="s">
        <v>27</v>
      </c>
      <c r="E669" s="0" t="s">
        <v>614</v>
      </c>
      <c r="F669" s="0" t="s">
        <v>557</v>
      </c>
      <c r="G669" s="0" t="s">
        <v>2892</v>
      </c>
      <c r="H669" s="0" t="s">
        <v>2892</v>
      </c>
      <c r="I669" s="0" t="s">
        <v>615</v>
      </c>
      <c r="J669" s="0" t="s">
        <v>615</v>
      </c>
      <c r="K669" s="0" t="s">
        <v>2895</v>
      </c>
      <c r="L669" s="0" t="s">
        <v>32</v>
      </c>
      <c r="M669" s="0" t="s">
        <v>33</v>
      </c>
      <c r="N669" s="0" t="s">
        <v>32</v>
      </c>
      <c r="O669" s="0" t="s">
        <v>35</v>
      </c>
      <c r="P669" s="0" t="s">
        <v>1323</v>
      </c>
      <c r="Q669" s="0" t="s">
        <v>2895</v>
      </c>
      <c r="R669" s="0" t="s">
        <v>2896</v>
      </c>
      <c r="S669" s="0" t="s">
        <v>32</v>
      </c>
      <c r="T669" s="0">
        <f>HYPERLINK("https://storage.sslt.ae/ItemVariation/08DCF9B1-AF0B-4050-8033-0058E07A35C1/E0F4537F-5CB9-411E-944B-C0B1AEAB5897.jpg","Variant Image")</f>
      </c>
      <c r="U669" s="0">
        <f>HYPERLINK("https://ec-qa-storage.kldlms.com/Item/08DCF9B1-AF0B-4050-8033-0058E07A35C1/25AA9E65-343B-43B5-BFED-9991A3071499.jpg","Thumbnail Image")</f>
      </c>
      <c r="W669" s="0" t="s">
        <v>22</v>
      </c>
    </row>
    <row r="670">
      <c r="A670" s="0" t="s">
        <v>2892</v>
      </c>
      <c r="B670" s="0" t="s">
        <v>2892</v>
      </c>
      <c r="C670" s="0" t="s">
        <v>613</v>
      </c>
      <c r="D670" s="0" t="s">
        <v>27</v>
      </c>
      <c r="E670" s="0" t="s">
        <v>614</v>
      </c>
      <c r="F670" s="0" t="s">
        <v>557</v>
      </c>
      <c r="G670" s="0" t="s">
        <v>2892</v>
      </c>
      <c r="H670" s="0" t="s">
        <v>2892</v>
      </c>
      <c r="I670" s="0" t="s">
        <v>615</v>
      </c>
      <c r="J670" s="0" t="s">
        <v>615</v>
      </c>
      <c r="K670" s="0" t="s">
        <v>2897</v>
      </c>
      <c r="L670" s="0" t="s">
        <v>32</v>
      </c>
      <c r="M670" s="0" t="s">
        <v>33</v>
      </c>
      <c r="N670" s="0" t="s">
        <v>32</v>
      </c>
      <c r="O670" s="0" t="s">
        <v>35</v>
      </c>
      <c r="P670" s="0" t="s">
        <v>1323</v>
      </c>
      <c r="Q670" s="0" t="s">
        <v>2897</v>
      </c>
      <c r="R670" s="0" t="s">
        <v>2898</v>
      </c>
      <c r="S670" s="0" t="s">
        <v>32</v>
      </c>
      <c r="T670" s="0">
        <f>HYPERLINK("https://storage.sslt.ae/ItemVariation/08DCF9B1-AF1C-4F62-8C28-C770A235101F/7BE7E464-2F25-44F3-977D-5377191E576C.jpg","Variant Image")</f>
      </c>
      <c r="U670" s="0">
        <f>HYPERLINK("https://ec-qa-storage.kldlms.com/Item/08DCF9B1-AF1C-4F62-8C28-C770A235101F/FD9D5E69-6A0C-4AE0-AC3D-94058B72B0D9.jpg","Thumbnail Image")</f>
      </c>
      <c r="W670" s="0" t="s">
        <v>22</v>
      </c>
    </row>
    <row r="671">
      <c r="A671" s="0" t="s">
        <v>2899</v>
      </c>
      <c r="B671" s="0" t="s">
        <v>2899</v>
      </c>
      <c r="C671" s="0" t="s">
        <v>613</v>
      </c>
      <c r="D671" s="0" t="s">
        <v>27</v>
      </c>
      <c r="E671" s="0" t="s">
        <v>614</v>
      </c>
      <c r="F671" s="0" t="s">
        <v>557</v>
      </c>
      <c r="G671" s="0" t="s">
        <v>2899</v>
      </c>
      <c r="H671" s="0" t="s">
        <v>2899</v>
      </c>
      <c r="I671" s="0" t="s">
        <v>615</v>
      </c>
      <c r="J671" s="0" t="s">
        <v>615</v>
      </c>
      <c r="K671" s="0" t="s">
        <v>2900</v>
      </c>
      <c r="L671" s="0" t="s">
        <v>32</v>
      </c>
      <c r="M671" s="0" t="s">
        <v>33</v>
      </c>
      <c r="N671" s="0" t="s">
        <v>32</v>
      </c>
      <c r="O671" s="0" t="s">
        <v>35</v>
      </c>
      <c r="P671" s="0" t="s">
        <v>527</v>
      </c>
      <c r="Q671" s="0" t="s">
        <v>2900</v>
      </c>
      <c r="R671" s="0" t="s">
        <v>2901</v>
      </c>
      <c r="S671" s="0" t="s">
        <v>32</v>
      </c>
      <c r="T671" s="0">
        <f>HYPERLINK("https://storage.sslt.ae/ItemVariation/08DCF9B1-AF35-41EC-8143-2C08C6FA1E9B/E7C06C9F-A3EF-43E6-BE95-605182FF1495.jpg","Variant Image")</f>
      </c>
      <c r="U671" s="0">
        <f>HYPERLINK("https://ec-qa-storage.kldlms.com/Item/08DCF9B1-AF35-41EC-8143-2C08C6FA1E9B/03D3B492-AAD1-4655-A859-7B62EDBF23D4.jpg","Thumbnail Image")</f>
      </c>
      <c r="W671" s="0" t="s">
        <v>22</v>
      </c>
    </row>
    <row r="672">
      <c r="A672" s="0" t="s">
        <v>2902</v>
      </c>
      <c r="B672" s="0" t="s">
        <v>2902</v>
      </c>
      <c r="C672" s="0" t="s">
        <v>613</v>
      </c>
      <c r="D672" s="0" t="s">
        <v>27</v>
      </c>
      <c r="E672" s="0" t="s">
        <v>614</v>
      </c>
      <c r="F672" s="0" t="s">
        <v>557</v>
      </c>
      <c r="G672" s="0" t="s">
        <v>2902</v>
      </c>
      <c r="H672" s="0" t="s">
        <v>2902</v>
      </c>
      <c r="I672" s="0" t="s">
        <v>615</v>
      </c>
      <c r="J672" s="0" t="s">
        <v>615</v>
      </c>
      <c r="K672" s="0" t="s">
        <v>2903</v>
      </c>
      <c r="L672" s="0" t="s">
        <v>32</v>
      </c>
      <c r="M672" s="0" t="s">
        <v>33</v>
      </c>
      <c r="N672" s="0" t="s">
        <v>32</v>
      </c>
      <c r="O672" s="0" t="s">
        <v>35</v>
      </c>
      <c r="P672" s="0" t="s">
        <v>1323</v>
      </c>
      <c r="Q672" s="0" t="s">
        <v>2903</v>
      </c>
      <c r="R672" s="0" t="s">
        <v>2904</v>
      </c>
      <c r="S672" s="0" t="s">
        <v>32</v>
      </c>
      <c r="T672" s="0">
        <f>HYPERLINK("https://storage.sslt.ae/ItemVariation/08DCF9B1-AF4B-41BD-854E-DD5AF7DE3C25/9740F321-ECD5-4405-B0B7-B43EE1122FE2.jpg","Variant Image")</f>
      </c>
      <c r="U672" s="0">
        <f>HYPERLINK("https://ec-qa-storage.kldlms.com/Item/08DCF9B1-AF4B-41BD-854E-DD5AF7DE3C25/A374E713-DEF5-41ED-A9F6-7E466A78B474.jpg","Thumbnail Image")</f>
      </c>
      <c r="W672" s="0" t="s">
        <v>22</v>
      </c>
    </row>
    <row r="673">
      <c r="A673" s="0" t="s">
        <v>2905</v>
      </c>
      <c r="B673" s="0" t="s">
        <v>2905</v>
      </c>
      <c r="C673" s="0" t="s">
        <v>613</v>
      </c>
      <c r="D673" s="0" t="s">
        <v>27</v>
      </c>
      <c r="E673" s="0" t="s">
        <v>614</v>
      </c>
      <c r="F673" s="0" t="s">
        <v>557</v>
      </c>
      <c r="G673" s="0" t="s">
        <v>2905</v>
      </c>
      <c r="H673" s="0" t="s">
        <v>2905</v>
      </c>
      <c r="I673" s="0" t="s">
        <v>615</v>
      </c>
      <c r="J673" s="0" t="s">
        <v>615</v>
      </c>
      <c r="K673" s="0" t="s">
        <v>2906</v>
      </c>
      <c r="L673" s="0" t="s">
        <v>32</v>
      </c>
      <c r="M673" s="0" t="s">
        <v>33</v>
      </c>
      <c r="N673" s="0" t="s">
        <v>32</v>
      </c>
      <c r="O673" s="0" t="s">
        <v>35</v>
      </c>
      <c r="P673" s="0" t="s">
        <v>527</v>
      </c>
      <c r="Q673" s="0" t="s">
        <v>2906</v>
      </c>
      <c r="R673" s="0" t="s">
        <v>2907</v>
      </c>
      <c r="S673" s="0" t="s">
        <v>32</v>
      </c>
      <c r="T673" s="0">
        <f>HYPERLINK("https://storage.sslt.ae/ItemVariation/08DCF9B1-AF56-4B27-81E2-AEB7BD3C73BA/2826D110-05B2-4C07-9DF7-993F91F15674.jpg","Variant Image")</f>
      </c>
      <c r="U673" s="0">
        <f>HYPERLINK("https://ec-qa-storage.kldlms.com/Item/08DCF9B1-AF56-4B27-81E2-AEB7BD3C73BA/0EDCA538-6E87-49C7-9D71-6A3AE0C14EFB.jpg","Thumbnail Image")</f>
      </c>
      <c r="W673" s="0" t="s">
        <v>22</v>
      </c>
    </row>
    <row r="674">
      <c r="A674" s="0" t="s">
        <v>2905</v>
      </c>
      <c r="B674" s="0" t="s">
        <v>2905</v>
      </c>
      <c r="C674" s="0" t="s">
        <v>613</v>
      </c>
      <c r="D674" s="0" t="s">
        <v>27</v>
      </c>
      <c r="E674" s="0" t="s">
        <v>614</v>
      </c>
      <c r="F674" s="0" t="s">
        <v>557</v>
      </c>
      <c r="G674" s="0" t="s">
        <v>2905</v>
      </c>
      <c r="H674" s="0" t="s">
        <v>2905</v>
      </c>
      <c r="I674" s="0" t="s">
        <v>615</v>
      </c>
      <c r="J674" s="0" t="s">
        <v>615</v>
      </c>
      <c r="K674" s="0" t="s">
        <v>2908</v>
      </c>
      <c r="L674" s="0" t="s">
        <v>32</v>
      </c>
      <c r="M674" s="0" t="s">
        <v>33</v>
      </c>
      <c r="N674" s="0" t="s">
        <v>32</v>
      </c>
      <c r="O674" s="0" t="s">
        <v>35</v>
      </c>
      <c r="P674" s="0" t="s">
        <v>1323</v>
      </c>
      <c r="Q674" s="0" t="s">
        <v>2908</v>
      </c>
      <c r="R674" s="0" t="s">
        <v>2909</v>
      </c>
      <c r="S674" s="0" t="s">
        <v>32</v>
      </c>
      <c r="T674" s="0">
        <f>HYPERLINK("https://storage.sslt.ae/ItemVariation/08DCF9B1-AF61-4C2D-8D93-8A50C6FCE9B6/8A42A4AF-69EC-4339-B585-DE27AEB14102.jpg","Variant Image")</f>
      </c>
      <c r="U674" s="0">
        <f>HYPERLINK("https://ec-qa-storage.kldlms.com/Item/08DCF9B1-AF61-4C2D-8D93-8A50C6FCE9B6/92713D2D-D09C-4260-A191-7E3F320E26B3.jpg","Thumbnail Image")</f>
      </c>
      <c r="W674" s="0" t="s">
        <v>22</v>
      </c>
    </row>
    <row r="675">
      <c r="A675" s="0" t="s">
        <v>2910</v>
      </c>
      <c r="B675" s="0" t="s">
        <v>2910</v>
      </c>
      <c r="C675" s="0" t="s">
        <v>613</v>
      </c>
      <c r="D675" s="0" t="s">
        <v>27</v>
      </c>
      <c r="E675" s="0" t="s">
        <v>614</v>
      </c>
      <c r="F675" s="0" t="s">
        <v>557</v>
      </c>
      <c r="G675" s="0" t="s">
        <v>2910</v>
      </c>
      <c r="H675" s="0" t="s">
        <v>2910</v>
      </c>
      <c r="I675" s="0" t="s">
        <v>615</v>
      </c>
      <c r="J675" s="0" t="s">
        <v>615</v>
      </c>
      <c r="K675" s="0" t="s">
        <v>2911</v>
      </c>
      <c r="L675" s="0" t="s">
        <v>32</v>
      </c>
      <c r="M675" s="0" t="s">
        <v>33</v>
      </c>
      <c r="N675" s="0" t="s">
        <v>32</v>
      </c>
      <c r="O675" s="0" t="s">
        <v>35</v>
      </c>
      <c r="P675" s="0" t="s">
        <v>527</v>
      </c>
      <c r="Q675" s="0" t="s">
        <v>2911</v>
      </c>
      <c r="R675" s="0" t="s">
        <v>2912</v>
      </c>
      <c r="S675" s="0" t="s">
        <v>32</v>
      </c>
      <c r="T675" s="0">
        <f>HYPERLINK("https://storage.sslt.ae/ItemVariation/08DCF9B1-AF79-43A5-8196-7B62608E4433/2150C013-4328-4B10-BC44-BDEA8D18512C.jpg","Variant Image")</f>
      </c>
      <c r="U675" s="0">
        <f>HYPERLINK("https://ec-qa-storage.kldlms.com/Item/08DCF9B1-AF79-43A5-8196-7B62608E4433/D07522F9-DF4C-47DA-9EA1-BE702E2FA45E.jpg","Thumbnail Image")</f>
      </c>
      <c r="W675" s="0" t="s">
        <v>22</v>
      </c>
    </row>
    <row r="676">
      <c r="A676" s="0" t="s">
        <v>2910</v>
      </c>
      <c r="B676" s="0" t="s">
        <v>2910</v>
      </c>
      <c r="C676" s="0" t="s">
        <v>613</v>
      </c>
      <c r="D676" s="0" t="s">
        <v>27</v>
      </c>
      <c r="E676" s="0" t="s">
        <v>614</v>
      </c>
      <c r="F676" s="0" t="s">
        <v>557</v>
      </c>
      <c r="G676" s="0" t="s">
        <v>2910</v>
      </c>
      <c r="H676" s="0" t="s">
        <v>2910</v>
      </c>
      <c r="I676" s="0" t="s">
        <v>615</v>
      </c>
      <c r="J676" s="0" t="s">
        <v>615</v>
      </c>
      <c r="K676" s="0" t="s">
        <v>2913</v>
      </c>
      <c r="L676" s="0" t="s">
        <v>32</v>
      </c>
      <c r="M676" s="0" t="s">
        <v>33</v>
      </c>
      <c r="N676" s="0" t="s">
        <v>32</v>
      </c>
      <c r="O676" s="0" t="s">
        <v>35</v>
      </c>
      <c r="P676" s="0" t="s">
        <v>1323</v>
      </c>
      <c r="Q676" s="0" t="s">
        <v>2913</v>
      </c>
      <c r="R676" s="0" t="s">
        <v>2914</v>
      </c>
      <c r="S676" s="0" t="s">
        <v>32</v>
      </c>
      <c r="T676" s="0">
        <f>HYPERLINK("https://storage.sslt.ae/ItemVariation/08DCF9B1-AF8B-47F1-8FFC-ED7868EB7EDA/385F3687-10A0-47B4-B71F-50BD03D4F0E0.jpg","Variant Image")</f>
      </c>
      <c r="U676" s="0">
        <f>HYPERLINK("https://ec-qa-storage.kldlms.com/Item/08DCF9B1-AF8B-47F1-8FFC-ED7868EB7EDA/C7B4169F-7128-4FAD-81D9-8942470FB850.jpg","Thumbnail Image")</f>
      </c>
      <c r="W676" s="0" t="s">
        <v>22</v>
      </c>
    </row>
    <row r="677">
      <c r="A677" s="0" t="s">
        <v>2915</v>
      </c>
      <c r="B677" s="0" t="s">
        <v>2915</v>
      </c>
      <c r="C677" s="0" t="s">
        <v>613</v>
      </c>
      <c r="D677" s="0" t="s">
        <v>27</v>
      </c>
      <c r="E677" s="0" t="s">
        <v>614</v>
      </c>
      <c r="F677" s="0" t="s">
        <v>557</v>
      </c>
      <c r="G677" s="0" t="s">
        <v>2915</v>
      </c>
      <c r="H677" s="0" t="s">
        <v>2915</v>
      </c>
      <c r="I677" s="0" t="s">
        <v>615</v>
      </c>
      <c r="J677" s="0" t="s">
        <v>615</v>
      </c>
      <c r="K677" s="0" t="s">
        <v>2916</v>
      </c>
      <c r="L677" s="0" t="s">
        <v>32</v>
      </c>
      <c r="M677" s="0" t="s">
        <v>33</v>
      </c>
      <c r="N677" s="0" t="s">
        <v>32</v>
      </c>
      <c r="O677" s="0" t="s">
        <v>35</v>
      </c>
      <c r="P677" s="0" t="s">
        <v>527</v>
      </c>
      <c r="Q677" s="0" t="s">
        <v>2916</v>
      </c>
      <c r="R677" s="0" t="s">
        <v>2917</v>
      </c>
      <c r="S677" s="0" t="s">
        <v>32</v>
      </c>
      <c r="T677" s="0">
        <f>HYPERLINK("https://storage.sslt.ae/ItemVariation/08DCF9B1-AFA6-4967-8FC1-521DAE89FE59/DFAA4D48-B3B2-4BF8-988D-0C1AA67D6ADC.jpg","Variant Image")</f>
      </c>
      <c r="U677" s="0">
        <f>HYPERLINK("https://ec-qa-storage.kldlms.com/Item/08DCF9B1-AFA6-4967-8FC1-521DAE89FE59/6787D5CA-DB30-43AA-A893-E4C88298454F.jpg","Thumbnail Image")</f>
      </c>
      <c r="W677" s="0" t="s">
        <v>22</v>
      </c>
    </row>
    <row r="678">
      <c r="A678" s="0" t="s">
        <v>2918</v>
      </c>
      <c r="B678" s="0" t="s">
        <v>2918</v>
      </c>
      <c r="C678" s="0" t="s">
        <v>613</v>
      </c>
      <c r="D678" s="0" t="s">
        <v>27</v>
      </c>
      <c r="E678" s="0" t="s">
        <v>614</v>
      </c>
      <c r="F678" s="0" t="s">
        <v>557</v>
      </c>
      <c r="G678" s="0" t="s">
        <v>2918</v>
      </c>
      <c r="H678" s="0" t="s">
        <v>2918</v>
      </c>
      <c r="I678" s="0" t="s">
        <v>615</v>
      </c>
      <c r="J678" s="0" t="s">
        <v>615</v>
      </c>
      <c r="K678" s="0" t="s">
        <v>2919</v>
      </c>
      <c r="L678" s="0" t="s">
        <v>32</v>
      </c>
      <c r="M678" s="0" t="s">
        <v>33</v>
      </c>
      <c r="N678" s="0" t="s">
        <v>32</v>
      </c>
      <c r="O678" s="0" t="s">
        <v>35</v>
      </c>
      <c r="P678" s="0" t="s">
        <v>590</v>
      </c>
      <c r="Q678" s="0" t="s">
        <v>2919</v>
      </c>
      <c r="R678" s="0" t="s">
        <v>2920</v>
      </c>
      <c r="S678" s="0" t="s">
        <v>32</v>
      </c>
      <c r="T678" s="0">
        <f>HYPERLINK("https://storage.sslt.ae/ItemVariation/08DCF9B1-AFCA-4C8F-890D-D5E17B1D29FA/B83F9254-AFE1-4103-9326-BEFAA979C27D.jpg","Variant Image")</f>
      </c>
      <c r="U678" s="0">
        <f>HYPERLINK("https://ec-qa-storage.kldlms.com/Item/08DCF9B1-AFCA-4C8F-890D-D5E17B1D29FA/C8D1B07E-A3C8-47A6-8EE6-0B5E22B3FD7B.jpg","Thumbnail Image")</f>
      </c>
      <c r="W678" s="0" t="s">
        <v>22</v>
      </c>
    </row>
    <row r="679">
      <c r="A679" s="0" t="s">
        <v>2921</v>
      </c>
      <c r="B679" s="0" t="s">
        <v>2921</v>
      </c>
      <c r="C679" s="0" t="s">
        <v>613</v>
      </c>
      <c r="D679" s="0" t="s">
        <v>27</v>
      </c>
      <c r="E679" s="0" t="s">
        <v>614</v>
      </c>
      <c r="F679" s="0" t="s">
        <v>557</v>
      </c>
      <c r="G679" s="0" t="s">
        <v>2921</v>
      </c>
      <c r="H679" s="0" t="s">
        <v>2921</v>
      </c>
      <c r="I679" s="0" t="s">
        <v>615</v>
      </c>
      <c r="J679" s="0" t="s">
        <v>615</v>
      </c>
      <c r="K679" s="0" t="s">
        <v>2922</v>
      </c>
      <c r="L679" s="0" t="s">
        <v>32</v>
      </c>
      <c r="M679" s="0" t="s">
        <v>33</v>
      </c>
      <c r="N679" s="0" t="s">
        <v>32</v>
      </c>
      <c r="O679" s="0" t="s">
        <v>35</v>
      </c>
      <c r="P679" s="0" t="s">
        <v>590</v>
      </c>
      <c r="Q679" s="0" t="s">
        <v>2922</v>
      </c>
      <c r="R679" s="0" t="s">
        <v>2923</v>
      </c>
      <c r="S679" s="0" t="s">
        <v>32</v>
      </c>
      <c r="T679" s="0">
        <f>HYPERLINK("https://storage.sslt.ae/ItemVariation/08DCF9B1-AFE1-401D-89A7-DC1C809B6CED/1CD2F977-3953-44BB-9DB6-E991E1C6EBC9.jpg","Variant Image")</f>
      </c>
      <c r="U679" s="0">
        <f>HYPERLINK("https://ec-qa-storage.kldlms.com/Item/08DCF9B1-AFE1-401D-89A7-DC1C809B6CED/25242EA8-0959-4944-A0A9-074AA91E754A.jpg","Thumbnail Image")</f>
      </c>
      <c r="W679" s="0" t="s">
        <v>22</v>
      </c>
    </row>
    <row r="680">
      <c r="A680" s="0" t="s">
        <v>2924</v>
      </c>
      <c r="B680" s="0" t="s">
        <v>2924</v>
      </c>
      <c r="C680" s="0" t="s">
        <v>613</v>
      </c>
      <c r="D680" s="0" t="s">
        <v>27</v>
      </c>
      <c r="E680" s="0" t="s">
        <v>614</v>
      </c>
      <c r="F680" s="0" t="s">
        <v>557</v>
      </c>
      <c r="G680" s="0" t="s">
        <v>2924</v>
      </c>
      <c r="H680" s="0" t="s">
        <v>2924</v>
      </c>
      <c r="I680" s="0" t="s">
        <v>615</v>
      </c>
      <c r="J680" s="0" t="s">
        <v>615</v>
      </c>
      <c r="K680" s="0" t="s">
        <v>2925</v>
      </c>
      <c r="L680" s="0" t="s">
        <v>32</v>
      </c>
      <c r="M680" s="0" t="s">
        <v>33</v>
      </c>
      <c r="N680" s="0" t="s">
        <v>32</v>
      </c>
      <c r="O680" s="0" t="s">
        <v>35</v>
      </c>
      <c r="P680" s="0" t="s">
        <v>590</v>
      </c>
      <c r="Q680" s="0" t="s">
        <v>2925</v>
      </c>
      <c r="R680" s="0" t="s">
        <v>2926</v>
      </c>
      <c r="S680" s="0" t="s">
        <v>32</v>
      </c>
      <c r="T680" s="0">
        <f>HYPERLINK("https://storage.sslt.ae/ItemVariation/08DCF9B1-AFF0-4C2D-8D2F-6E11267A7DAA/B791D498-BECC-46D8-BCE1-7F73D61CDA20.jpg","Variant Image")</f>
      </c>
      <c r="U680" s="0">
        <f>HYPERLINK("https://ec-qa-storage.kldlms.com/Item/08DCF9B1-AFF0-4C2D-8D2F-6E11267A7DAA/1810EA55-A6CE-4003-A553-BFEAC0095A45.jpg","Thumbnail Image")</f>
      </c>
      <c r="W680" s="0" t="s">
        <v>22</v>
      </c>
    </row>
    <row r="681">
      <c r="A681" s="0" t="s">
        <v>2927</v>
      </c>
      <c r="B681" s="0" t="s">
        <v>2927</v>
      </c>
      <c r="C681" s="0" t="s">
        <v>613</v>
      </c>
      <c r="D681" s="0" t="s">
        <v>27</v>
      </c>
      <c r="E681" s="0" t="s">
        <v>614</v>
      </c>
      <c r="F681" s="0" t="s">
        <v>557</v>
      </c>
      <c r="G681" s="0" t="s">
        <v>2927</v>
      </c>
      <c r="H681" s="0" t="s">
        <v>2927</v>
      </c>
      <c r="I681" s="0" t="s">
        <v>615</v>
      </c>
      <c r="J681" s="0" t="s">
        <v>615</v>
      </c>
      <c r="K681" s="0" t="s">
        <v>2928</v>
      </c>
      <c r="L681" s="0" t="s">
        <v>32</v>
      </c>
      <c r="M681" s="0" t="s">
        <v>33</v>
      </c>
      <c r="N681" s="0" t="s">
        <v>32</v>
      </c>
      <c r="O681" s="0" t="s">
        <v>35</v>
      </c>
      <c r="P681" s="0" t="s">
        <v>590</v>
      </c>
      <c r="Q681" s="0" t="s">
        <v>2928</v>
      </c>
      <c r="R681" s="0" t="s">
        <v>2929</v>
      </c>
      <c r="S681" s="0" t="s">
        <v>32</v>
      </c>
      <c r="T681" s="0">
        <f>HYPERLINK("https://storage.sslt.ae/ItemVariation/08DCF9B1-B000-48BB-84A3-00D3EB6A6555/8B1643BE-C404-4475-80A4-EDEDD1A9ADBF.jpg","Variant Image")</f>
      </c>
      <c r="U681" s="0">
        <f>HYPERLINK("https://ec-qa-storage.kldlms.com/Item/08DCF9B1-B000-48BB-84A3-00D3EB6A6555/CB8FBB8E-2A62-47DA-9BE5-304266F72009.jpg","Thumbnail Image")</f>
      </c>
      <c r="W681" s="0" t="s">
        <v>22</v>
      </c>
    </row>
    <row r="682">
      <c r="A682" s="0" t="s">
        <v>2930</v>
      </c>
      <c r="B682" s="0" t="s">
        <v>2930</v>
      </c>
      <c r="C682" s="0" t="s">
        <v>613</v>
      </c>
      <c r="D682" s="0" t="s">
        <v>27</v>
      </c>
      <c r="E682" s="0" t="s">
        <v>614</v>
      </c>
      <c r="F682" s="0" t="s">
        <v>557</v>
      </c>
      <c r="G682" s="0" t="s">
        <v>2930</v>
      </c>
      <c r="H682" s="0" t="s">
        <v>2930</v>
      </c>
      <c r="I682" s="0" t="s">
        <v>615</v>
      </c>
      <c r="J682" s="0" t="s">
        <v>615</v>
      </c>
      <c r="K682" s="0" t="s">
        <v>2931</v>
      </c>
      <c r="L682" s="0" t="s">
        <v>32</v>
      </c>
      <c r="M682" s="0" t="s">
        <v>33</v>
      </c>
      <c r="N682" s="0" t="s">
        <v>32</v>
      </c>
      <c r="O682" s="0" t="s">
        <v>35</v>
      </c>
      <c r="P682" s="0" t="s">
        <v>527</v>
      </c>
      <c r="Q682" s="0" t="s">
        <v>2931</v>
      </c>
      <c r="R682" s="0" t="s">
        <v>2932</v>
      </c>
      <c r="S682" s="0" t="s">
        <v>32</v>
      </c>
      <c r="T682" s="0">
        <f>HYPERLINK("https://storage.sslt.ae/ItemVariation/08DCF9B1-B016-4C08-8850-C333597E0192/3B5494DB-8A06-40AB-BB72-E417979BA678.jpg","Variant Image")</f>
      </c>
      <c r="U682" s="0">
        <f>HYPERLINK("https://ec-qa-storage.kldlms.com/Item/08DCF9B1-B016-4C08-8850-C333597E0192/DCA41A02-19EB-4685-BC74-EA1F274E2998.jpg","Thumbnail Image")</f>
      </c>
      <c r="W682" s="0" t="s">
        <v>22</v>
      </c>
    </row>
    <row r="683">
      <c r="A683" s="0" t="s">
        <v>2930</v>
      </c>
      <c r="B683" s="0" t="s">
        <v>2930</v>
      </c>
      <c r="C683" s="0" t="s">
        <v>613</v>
      </c>
      <c r="D683" s="0" t="s">
        <v>27</v>
      </c>
      <c r="E683" s="0" t="s">
        <v>614</v>
      </c>
      <c r="F683" s="0" t="s">
        <v>557</v>
      </c>
      <c r="G683" s="0" t="s">
        <v>2930</v>
      </c>
      <c r="H683" s="0" t="s">
        <v>2930</v>
      </c>
      <c r="I683" s="0" t="s">
        <v>615</v>
      </c>
      <c r="J683" s="0" t="s">
        <v>615</v>
      </c>
      <c r="K683" s="0" t="s">
        <v>2933</v>
      </c>
      <c r="L683" s="0" t="s">
        <v>32</v>
      </c>
      <c r="M683" s="0" t="s">
        <v>33</v>
      </c>
      <c r="N683" s="0" t="s">
        <v>32</v>
      </c>
      <c r="O683" s="0" t="s">
        <v>35</v>
      </c>
      <c r="P683" s="0" t="s">
        <v>590</v>
      </c>
      <c r="Q683" s="0" t="s">
        <v>2933</v>
      </c>
      <c r="R683" s="0" t="s">
        <v>2934</v>
      </c>
      <c r="S683" s="0" t="s">
        <v>32</v>
      </c>
      <c r="T683" s="0">
        <f>HYPERLINK("https://storage.sslt.ae/ItemVariation/08DCF9B1-B02B-4833-8BDF-7B185CDF7FD7/01452C81-9DBA-4827-B3D6-427F24B83821.jpg","Variant Image")</f>
      </c>
      <c r="U683" s="0">
        <f>HYPERLINK("https://ec-qa-storage.kldlms.com/Item/08DCF9B1-B02B-4833-8BDF-7B185CDF7FD7/EE671009-1A0F-4F29-8F3B-1AE65AC37015.jpg","Thumbnail Image")</f>
      </c>
      <c r="W683" s="0" t="s">
        <v>22</v>
      </c>
    </row>
    <row r="684">
      <c r="A684" s="0" t="s">
        <v>2935</v>
      </c>
      <c r="B684" s="0" t="s">
        <v>2935</v>
      </c>
      <c r="C684" s="0" t="s">
        <v>613</v>
      </c>
      <c r="D684" s="0" t="s">
        <v>27</v>
      </c>
      <c r="E684" s="0" t="s">
        <v>614</v>
      </c>
      <c r="F684" s="0" t="s">
        <v>557</v>
      </c>
      <c r="G684" s="0" t="s">
        <v>2935</v>
      </c>
      <c r="H684" s="0" t="s">
        <v>2935</v>
      </c>
      <c r="I684" s="0" t="s">
        <v>615</v>
      </c>
      <c r="J684" s="0" t="s">
        <v>615</v>
      </c>
      <c r="K684" s="0" t="s">
        <v>2936</v>
      </c>
      <c r="L684" s="0" t="s">
        <v>32</v>
      </c>
      <c r="M684" s="0" t="s">
        <v>33</v>
      </c>
      <c r="N684" s="0" t="s">
        <v>32</v>
      </c>
      <c r="O684" s="0" t="s">
        <v>35</v>
      </c>
      <c r="P684" s="0" t="s">
        <v>590</v>
      </c>
      <c r="Q684" s="0" t="s">
        <v>2936</v>
      </c>
      <c r="R684" s="0" t="s">
        <v>2937</v>
      </c>
      <c r="S684" s="0" t="s">
        <v>32</v>
      </c>
      <c r="T684" s="0">
        <f>HYPERLINK("https://storage.sslt.ae/ItemVariation/08DCF9B1-B042-47F1-81FA-85E159FFC37E/754F05F3-1919-479B-AB9F-FBB49281E1C3.jpg","Variant Image")</f>
      </c>
      <c r="U684" s="0">
        <f>HYPERLINK("https://ec-qa-storage.kldlms.com/Item/08DCF9B1-B042-47F1-81FA-85E159FFC37E/1773A34F-34E4-454A-BA12-EF9CF73C2025.jpg","Thumbnail Image")</f>
      </c>
      <c r="W684" s="0" t="s">
        <v>22</v>
      </c>
    </row>
    <row r="685">
      <c r="A685" s="0" t="s">
        <v>2924</v>
      </c>
      <c r="B685" s="0" t="s">
        <v>2924</v>
      </c>
      <c r="C685" s="0" t="s">
        <v>613</v>
      </c>
      <c r="D685" s="0" t="s">
        <v>27</v>
      </c>
      <c r="E685" s="0" t="s">
        <v>614</v>
      </c>
      <c r="F685" s="0" t="s">
        <v>557</v>
      </c>
      <c r="G685" s="0" t="s">
        <v>2924</v>
      </c>
      <c r="H685" s="0" t="s">
        <v>2924</v>
      </c>
      <c r="I685" s="0" t="s">
        <v>615</v>
      </c>
      <c r="J685" s="0" t="s">
        <v>615</v>
      </c>
      <c r="K685" s="0" t="s">
        <v>2938</v>
      </c>
      <c r="L685" s="0" t="s">
        <v>32</v>
      </c>
      <c r="M685" s="0" t="s">
        <v>33</v>
      </c>
      <c r="N685" s="0" t="s">
        <v>32</v>
      </c>
      <c r="O685" s="0" t="s">
        <v>35</v>
      </c>
      <c r="P685" s="0" t="s">
        <v>590</v>
      </c>
      <c r="Q685" s="0" t="s">
        <v>2938</v>
      </c>
      <c r="R685" s="0" t="s">
        <v>2939</v>
      </c>
      <c r="S685" s="0" t="s">
        <v>32</v>
      </c>
      <c r="T685" s="0">
        <f>HYPERLINK("https://storage.sslt.ae/ItemVariation/08DCF9B1-B054-42BD-8134-87E4031E7B8A/B157D205-BA8E-44E5-AE44-69F1AEB58A4F.jpg","Variant Image")</f>
      </c>
      <c r="U685" s="0">
        <f>HYPERLINK("https://ec-qa-storage.kldlms.com/Item/08DCF9B1-B054-42BD-8134-87E4031E7B8A/8A54C07C-CAE7-4A98-969C-C76F8ADE91C8.jpg","Thumbnail Image")</f>
      </c>
      <c r="W685" s="0" t="s">
        <v>22</v>
      </c>
    </row>
    <row r="686">
      <c r="A686" s="0" t="s">
        <v>2940</v>
      </c>
      <c r="B686" s="0" t="s">
        <v>2940</v>
      </c>
      <c r="C686" s="0" t="s">
        <v>613</v>
      </c>
      <c r="D686" s="0" t="s">
        <v>27</v>
      </c>
      <c r="E686" s="0" t="s">
        <v>614</v>
      </c>
      <c r="F686" s="0" t="s">
        <v>557</v>
      </c>
      <c r="G686" s="0" t="s">
        <v>2940</v>
      </c>
      <c r="H686" s="0" t="s">
        <v>2940</v>
      </c>
      <c r="I686" s="0" t="s">
        <v>615</v>
      </c>
      <c r="J686" s="0" t="s">
        <v>615</v>
      </c>
      <c r="K686" s="0" t="s">
        <v>2941</v>
      </c>
      <c r="L686" s="0" t="s">
        <v>32</v>
      </c>
      <c r="M686" s="0" t="s">
        <v>33</v>
      </c>
      <c r="N686" s="0" t="s">
        <v>32</v>
      </c>
      <c r="O686" s="0" t="s">
        <v>35</v>
      </c>
      <c r="P686" s="0" t="s">
        <v>527</v>
      </c>
      <c r="Q686" s="0" t="s">
        <v>2941</v>
      </c>
      <c r="R686" s="0" t="s">
        <v>2942</v>
      </c>
      <c r="S686" s="0" t="s">
        <v>32</v>
      </c>
      <c r="T686" s="0">
        <f>HYPERLINK("https://storage.sslt.ae/ItemVariation/08DCF9B1-B05C-4FE3-8096-90E350E3154E/FBA55CC6-17BD-4713-9397-56F69FA66747.jpg","Variant Image")</f>
      </c>
      <c r="U686" s="0">
        <f>HYPERLINK("https://ec-qa-storage.kldlms.com/Item/08DCF9B1-B05C-4FE3-8096-90E350E3154E/2603022C-ABDF-4B74-8EBB-9CDE3CEFE33A.jpg","Thumbnail Image")</f>
      </c>
      <c r="W686" s="0" t="s">
        <v>22</v>
      </c>
    </row>
    <row r="687">
      <c r="A687" s="0" t="s">
        <v>2943</v>
      </c>
      <c r="B687" s="0" t="s">
        <v>2943</v>
      </c>
      <c r="C687" s="0" t="s">
        <v>613</v>
      </c>
      <c r="D687" s="0" t="s">
        <v>27</v>
      </c>
      <c r="E687" s="0" t="s">
        <v>614</v>
      </c>
      <c r="F687" s="0" t="s">
        <v>557</v>
      </c>
      <c r="G687" s="0" t="s">
        <v>2943</v>
      </c>
      <c r="H687" s="0" t="s">
        <v>2943</v>
      </c>
      <c r="I687" s="0" t="s">
        <v>615</v>
      </c>
      <c r="J687" s="0" t="s">
        <v>615</v>
      </c>
      <c r="K687" s="0" t="s">
        <v>2944</v>
      </c>
      <c r="L687" s="0" t="s">
        <v>32</v>
      </c>
      <c r="M687" s="0" t="s">
        <v>33</v>
      </c>
      <c r="N687" s="0" t="s">
        <v>32</v>
      </c>
      <c r="O687" s="0" t="s">
        <v>35</v>
      </c>
      <c r="P687" s="0" t="s">
        <v>590</v>
      </c>
      <c r="Q687" s="0" t="s">
        <v>2944</v>
      </c>
      <c r="R687" s="0" t="s">
        <v>2945</v>
      </c>
      <c r="S687" s="0" t="s">
        <v>32</v>
      </c>
      <c r="T687" s="0">
        <f>HYPERLINK("https://storage.sslt.ae/ItemVariation/08DCF9B1-B07E-4754-80F7-5FC5ED3827E9/C5DA0FFB-541D-4E5A-9F32-726AB17D0F1E.jpg","Variant Image")</f>
      </c>
      <c r="U687" s="0">
        <f>HYPERLINK("https://ec-qa-storage.kldlms.com/Item/08DCF9B1-B07E-4754-80F7-5FC5ED3827E9/FBB851C7-9278-477F-9E6F-39127258DA23.jpg","Thumbnail Image")</f>
      </c>
      <c r="W687" s="0" t="s">
        <v>22</v>
      </c>
    </row>
    <row r="688">
      <c r="A688" s="0" t="s">
        <v>2946</v>
      </c>
      <c r="B688" s="0" t="s">
        <v>2946</v>
      </c>
      <c r="C688" s="0" t="s">
        <v>613</v>
      </c>
      <c r="D688" s="0" t="s">
        <v>27</v>
      </c>
      <c r="E688" s="0" t="s">
        <v>614</v>
      </c>
      <c r="F688" s="0" t="s">
        <v>557</v>
      </c>
      <c r="G688" s="0" t="s">
        <v>2946</v>
      </c>
      <c r="H688" s="0" t="s">
        <v>2946</v>
      </c>
      <c r="I688" s="0" t="s">
        <v>615</v>
      </c>
      <c r="J688" s="0" t="s">
        <v>615</v>
      </c>
      <c r="K688" s="0" t="s">
        <v>2947</v>
      </c>
      <c r="L688" s="0" t="s">
        <v>32</v>
      </c>
      <c r="M688" s="0" t="s">
        <v>33</v>
      </c>
      <c r="N688" s="0" t="s">
        <v>32</v>
      </c>
      <c r="O688" s="0" t="s">
        <v>35</v>
      </c>
      <c r="P688" s="0" t="s">
        <v>527</v>
      </c>
      <c r="Q688" s="0" t="s">
        <v>2947</v>
      </c>
      <c r="R688" s="0" t="s">
        <v>2948</v>
      </c>
      <c r="S688" s="0" t="s">
        <v>32</v>
      </c>
      <c r="T688" s="0">
        <f>HYPERLINK("https://storage.sslt.ae/ItemVariation/08DCF9B1-B0CA-4BED-8AEB-76445641C009/DEDB6E43-862D-4A7E-AB0F-581C35D491EC.jpg","Variant Image")</f>
      </c>
      <c r="U688" s="0">
        <f>HYPERLINK("https://ec-qa-storage.kldlms.com/Item/08DCF9B1-B0CA-4BED-8AEB-76445641C009/1D31CF61-D0F1-4315-B8B6-A0A2B596C149.jpg","Thumbnail Image")</f>
      </c>
      <c r="W688" s="0" t="s">
        <v>22</v>
      </c>
    </row>
    <row r="689">
      <c r="A689" s="0" t="s">
        <v>2949</v>
      </c>
      <c r="B689" s="0" t="s">
        <v>2949</v>
      </c>
      <c r="C689" s="0" t="s">
        <v>613</v>
      </c>
      <c r="D689" s="0" t="s">
        <v>27</v>
      </c>
      <c r="E689" s="0" t="s">
        <v>614</v>
      </c>
      <c r="F689" s="0" t="s">
        <v>557</v>
      </c>
      <c r="G689" s="0" t="s">
        <v>2949</v>
      </c>
      <c r="H689" s="0" t="s">
        <v>2949</v>
      </c>
      <c r="I689" s="0" t="s">
        <v>615</v>
      </c>
      <c r="J689" s="0" t="s">
        <v>615</v>
      </c>
      <c r="K689" s="0" t="s">
        <v>2950</v>
      </c>
      <c r="L689" s="0" t="s">
        <v>32</v>
      </c>
      <c r="M689" s="0" t="s">
        <v>33</v>
      </c>
      <c r="N689" s="0" t="s">
        <v>32</v>
      </c>
      <c r="O689" s="0" t="s">
        <v>35</v>
      </c>
      <c r="P689" s="0" t="s">
        <v>527</v>
      </c>
      <c r="Q689" s="0" t="s">
        <v>2950</v>
      </c>
      <c r="R689" s="0" t="s">
        <v>2951</v>
      </c>
      <c r="S689" s="0" t="s">
        <v>32</v>
      </c>
      <c r="T689" s="0">
        <f>HYPERLINK("https://storage.sslt.ae/ItemVariation/08DCF9B1-B0E3-49E9-86DE-6E6C64637130/2A98797C-1322-4139-91C0-64B72E0D3F65.jpg","Variant Image")</f>
      </c>
      <c r="U689" s="0">
        <f>HYPERLINK("https://ec-qa-storage.kldlms.com/Item/08DCF9B1-B0E3-49E9-86DE-6E6C64637130/F9EE41C2-588D-4DD4-86CC-30291F8C1ACD.jpg","Thumbnail Image")</f>
      </c>
      <c r="W689" s="0" t="s">
        <v>22</v>
      </c>
    </row>
    <row r="690">
      <c r="A690" s="0" t="s">
        <v>2952</v>
      </c>
      <c r="B690" s="0" t="s">
        <v>2952</v>
      </c>
      <c r="C690" s="0" t="s">
        <v>613</v>
      </c>
      <c r="D690" s="0" t="s">
        <v>27</v>
      </c>
      <c r="E690" s="0" t="s">
        <v>614</v>
      </c>
      <c r="F690" s="0" t="s">
        <v>557</v>
      </c>
      <c r="G690" s="0" t="s">
        <v>2952</v>
      </c>
      <c r="H690" s="0" t="s">
        <v>2952</v>
      </c>
      <c r="I690" s="0" t="s">
        <v>615</v>
      </c>
      <c r="J690" s="0" t="s">
        <v>615</v>
      </c>
      <c r="K690" s="0" t="s">
        <v>2953</v>
      </c>
      <c r="L690" s="0" t="s">
        <v>32</v>
      </c>
      <c r="M690" s="0" t="s">
        <v>33</v>
      </c>
      <c r="N690" s="0" t="s">
        <v>32</v>
      </c>
      <c r="O690" s="0" t="s">
        <v>35</v>
      </c>
      <c r="P690" s="0" t="s">
        <v>590</v>
      </c>
      <c r="Q690" s="0" t="s">
        <v>2953</v>
      </c>
      <c r="R690" s="0" t="s">
        <v>1032</v>
      </c>
      <c r="S690" s="0" t="s">
        <v>32</v>
      </c>
      <c r="T690" s="0">
        <f>HYPERLINK("https://storage.sslt.ae/ItemVariation/08DCF9B1-B101-46AF-8266-3F6A13D14086/91FF1167-805D-4715-ABE4-3346C00CAAC4.jpg","Variant Image")</f>
      </c>
      <c r="U690" s="0">
        <f>HYPERLINK("https://ec-qa-storage.kldlms.com/Item/08DCF9B1-B101-46AF-8266-3F6A13D14086/59C29FF4-93A3-4987-AE8C-D48D0781CDE7.jpg","Thumbnail Image")</f>
      </c>
      <c r="W690" s="0" t="s">
        <v>22</v>
      </c>
    </row>
    <row r="691">
      <c r="A691" s="0" t="s">
        <v>2954</v>
      </c>
      <c r="B691" s="0" t="s">
        <v>2954</v>
      </c>
      <c r="C691" s="0" t="s">
        <v>613</v>
      </c>
      <c r="D691" s="0" t="s">
        <v>27</v>
      </c>
      <c r="E691" s="0" t="s">
        <v>614</v>
      </c>
      <c r="F691" s="0" t="s">
        <v>557</v>
      </c>
      <c r="G691" s="0" t="s">
        <v>2954</v>
      </c>
      <c r="H691" s="0" t="s">
        <v>2954</v>
      </c>
      <c r="I691" s="0" t="s">
        <v>615</v>
      </c>
      <c r="J691" s="0" t="s">
        <v>615</v>
      </c>
      <c r="K691" s="0" t="s">
        <v>2955</v>
      </c>
      <c r="L691" s="0" t="s">
        <v>32</v>
      </c>
      <c r="M691" s="0" t="s">
        <v>33</v>
      </c>
      <c r="N691" s="0" t="s">
        <v>32</v>
      </c>
      <c r="O691" s="0" t="s">
        <v>35</v>
      </c>
      <c r="P691" s="0" t="s">
        <v>590</v>
      </c>
      <c r="Q691" s="0" t="s">
        <v>2955</v>
      </c>
      <c r="R691" s="0" t="s">
        <v>1021</v>
      </c>
      <c r="S691" s="0" t="s">
        <v>32</v>
      </c>
      <c r="T691" s="0">
        <f>HYPERLINK("https://storage.sslt.ae/ItemVariation/08DCF9B1-B121-4A2E-884F-2240BD3DDA02/9AD2EADD-1C4C-4A56-BA67-4407E550C2CA.jpg","Variant Image")</f>
      </c>
      <c r="U691" s="0">
        <f>HYPERLINK("https://ec-qa-storage.kldlms.com/Item/08DCF9B1-B121-4A2E-884F-2240BD3DDA02/9F76419B-7508-4C67-9B58-BB55C0833EF5.jpg","Thumbnail Image")</f>
      </c>
      <c r="W691" s="0" t="s">
        <v>22</v>
      </c>
    </row>
    <row r="692">
      <c r="A692" s="0" t="s">
        <v>2956</v>
      </c>
      <c r="B692" s="0" t="s">
        <v>2956</v>
      </c>
      <c r="C692" s="0" t="s">
        <v>613</v>
      </c>
      <c r="D692" s="0" t="s">
        <v>27</v>
      </c>
      <c r="E692" s="0" t="s">
        <v>614</v>
      </c>
      <c r="F692" s="0" t="s">
        <v>557</v>
      </c>
      <c r="G692" s="0" t="s">
        <v>2956</v>
      </c>
      <c r="H692" s="0" t="s">
        <v>2956</v>
      </c>
      <c r="I692" s="0" t="s">
        <v>615</v>
      </c>
      <c r="J692" s="0" t="s">
        <v>615</v>
      </c>
      <c r="K692" s="0" t="s">
        <v>2957</v>
      </c>
      <c r="L692" s="0" t="s">
        <v>32</v>
      </c>
      <c r="M692" s="0" t="s">
        <v>33</v>
      </c>
      <c r="N692" s="0" t="s">
        <v>32</v>
      </c>
      <c r="O692" s="0" t="s">
        <v>35</v>
      </c>
      <c r="P692" s="0" t="s">
        <v>527</v>
      </c>
      <c r="Q692" s="0" t="s">
        <v>2957</v>
      </c>
      <c r="R692" s="0" t="s">
        <v>2958</v>
      </c>
      <c r="S692" s="0" t="s">
        <v>32</v>
      </c>
      <c r="T692" s="0">
        <f>HYPERLINK("https://storage.sslt.ae/ItemVariation/08DCF9B1-B14C-4FDB-858E-B27F27858006/DE456437-6E59-48F9-8118-EC47F27BD860.jpg","Variant Image")</f>
      </c>
      <c r="U692" s="0">
        <f>HYPERLINK("https://ec-qa-storage.kldlms.com/Item/08DCF9B1-B14C-4FDB-858E-B27F27858006/05094395-7818-4E0F-B3E2-B604B78C24EE.jpg","Thumbnail Image")</f>
      </c>
      <c r="W692" s="0" t="s">
        <v>22</v>
      </c>
    </row>
    <row r="693">
      <c r="A693" s="0" t="s">
        <v>2959</v>
      </c>
      <c r="B693" s="0" t="s">
        <v>2959</v>
      </c>
      <c r="C693" s="0" t="s">
        <v>613</v>
      </c>
      <c r="D693" s="0" t="s">
        <v>27</v>
      </c>
      <c r="E693" s="0" t="s">
        <v>614</v>
      </c>
      <c r="F693" s="0" t="s">
        <v>557</v>
      </c>
      <c r="G693" s="0" t="s">
        <v>2959</v>
      </c>
      <c r="H693" s="0" t="s">
        <v>2959</v>
      </c>
      <c r="I693" s="0" t="s">
        <v>615</v>
      </c>
      <c r="J693" s="0" t="s">
        <v>615</v>
      </c>
      <c r="K693" s="0" t="s">
        <v>2960</v>
      </c>
      <c r="L693" s="0" t="s">
        <v>32</v>
      </c>
      <c r="M693" s="0" t="s">
        <v>33</v>
      </c>
      <c r="N693" s="0" t="s">
        <v>32</v>
      </c>
      <c r="O693" s="0" t="s">
        <v>35</v>
      </c>
      <c r="P693" s="0" t="s">
        <v>527</v>
      </c>
      <c r="Q693" s="0" t="s">
        <v>2960</v>
      </c>
      <c r="R693" s="0" t="s">
        <v>2961</v>
      </c>
      <c r="S693" s="0" t="s">
        <v>32</v>
      </c>
      <c r="T693" s="0">
        <f>HYPERLINK("https://storage.sslt.ae/ItemVariation/08DCF9B1-B15D-49D8-80D5-F95529A9ECF4/C0B4DC20-4165-400C-A898-526C4310276C.jpg","Variant Image")</f>
      </c>
      <c r="U693" s="0">
        <f>HYPERLINK("https://ec-qa-storage.kldlms.com/Item/08DCF9B1-B15D-49D8-80D5-F95529A9ECF4/855C1ADF-7F14-4629-95B5-7C4E7F6C622B.jpg","Thumbnail Image")</f>
      </c>
      <c r="W693" s="0" t="s">
        <v>22</v>
      </c>
    </row>
    <row r="694">
      <c r="A694" s="0" t="s">
        <v>2962</v>
      </c>
      <c r="B694" s="0" t="s">
        <v>2962</v>
      </c>
      <c r="C694" s="0" t="s">
        <v>613</v>
      </c>
      <c r="D694" s="0" t="s">
        <v>27</v>
      </c>
      <c r="E694" s="0" t="s">
        <v>614</v>
      </c>
      <c r="F694" s="0" t="s">
        <v>557</v>
      </c>
      <c r="G694" s="0" t="s">
        <v>2962</v>
      </c>
      <c r="H694" s="0" t="s">
        <v>2962</v>
      </c>
      <c r="I694" s="0" t="s">
        <v>615</v>
      </c>
      <c r="J694" s="0" t="s">
        <v>615</v>
      </c>
      <c r="K694" s="0" t="s">
        <v>2963</v>
      </c>
      <c r="L694" s="0" t="s">
        <v>32</v>
      </c>
      <c r="M694" s="0" t="s">
        <v>33</v>
      </c>
      <c r="N694" s="0" t="s">
        <v>32</v>
      </c>
      <c r="O694" s="0" t="s">
        <v>35</v>
      </c>
      <c r="P694" s="0" t="s">
        <v>527</v>
      </c>
      <c r="Q694" s="0" t="s">
        <v>2963</v>
      </c>
      <c r="R694" s="0" t="s">
        <v>2964</v>
      </c>
      <c r="S694" s="0" t="s">
        <v>32</v>
      </c>
      <c r="T694" s="0">
        <f>HYPERLINK("https://storage.sslt.ae/ItemVariation/08DCF9B1-B175-48E7-8ABF-076B0ADEC13C/3E4D08F7-0B3C-4741-A4DF-CD6239F23E1B.jpg","Variant Image")</f>
      </c>
      <c r="U694" s="0">
        <f>HYPERLINK("https://ec-qa-storage.kldlms.com/Item/08DCF9B1-B175-48E7-8ABF-076B0ADEC13C/70761C23-C070-4EF2-94F1-430A5746E2A2.jpg","Thumbnail Image")</f>
      </c>
      <c r="W694" s="0" t="s">
        <v>22</v>
      </c>
    </row>
    <row r="695">
      <c r="A695" s="0" t="s">
        <v>1082</v>
      </c>
      <c r="B695" s="0" t="s">
        <v>1082</v>
      </c>
      <c r="C695" s="0" t="s">
        <v>2852</v>
      </c>
      <c r="D695" s="0" t="s">
        <v>27</v>
      </c>
      <c r="E695" s="0" t="s">
        <v>614</v>
      </c>
      <c r="F695" s="0" t="s">
        <v>557</v>
      </c>
      <c r="G695" s="0" t="s">
        <v>1082</v>
      </c>
      <c r="H695" s="0" t="s">
        <v>1082</v>
      </c>
      <c r="I695" s="0" t="s">
        <v>615</v>
      </c>
      <c r="J695" s="0" t="s">
        <v>615</v>
      </c>
      <c r="K695" s="0" t="s">
        <v>2851</v>
      </c>
      <c r="L695" s="0" t="s">
        <v>32</v>
      </c>
      <c r="M695" s="0" t="s">
        <v>33</v>
      </c>
      <c r="N695" s="0" t="s">
        <v>83</v>
      </c>
      <c r="O695" s="0" t="s">
        <v>35</v>
      </c>
      <c r="P695" s="0" t="s">
        <v>996</v>
      </c>
      <c r="Q695" s="0" t="s">
        <v>2965</v>
      </c>
      <c r="R695" s="0" t="s">
        <v>2852</v>
      </c>
      <c r="S695" s="0" t="s">
        <v>83</v>
      </c>
      <c r="T695" s="0">
        <f>HYPERLINK("https://storage.sslt.ae/ItemVariation/08DCF9B4-B8A0-4522-8EB0-9662FC59612E/592C6B99-2FAA-4A70-8BAD-DB23838EB776.jpg","Variant Image")</f>
      </c>
      <c r="U695" s="0">
        <f>HYPERLINK("https://ec-qa-storage.kldlms.com/Item/08DCF9B4-B8A0-4522-8EB0-9662FC59612E/A61221E5-6300-4CA4-80CC-332BB1FEDE21.jpg","Thumbnail Image")</f>
      </c>
      <c r="V695" s="0">
        <f>HYPERLINK("https://ec-qa-storage.kldlms.com/ItemGallery/08DCF9B4-B8A0-4522-8EB0-9662FC59612E/EBF5FE91-9FFE-445A-AF04-B53FD02B6BC3.jpg","Gallery Image ")</f>
      </c>
      <c r="W695" s="0" t="s">
        <v>22</v>
      </c>
      <c r="X695" s="0" t="s">
        <v>2966</v>
      </c>
    </row>
    <row r="696">
      <c r="A696" s="0" t="s">
        <v>2853</v>
      </c>
      <c r="B696" s="0" t="s">
        <v>2853</v>
      </c>
      <c r="C696" s="0" t="s">
        <v>1024</v>
      </c>
      <c r="D696" s="0" t="s">
        <v>27</v>
      </c>
      <c r="E696" s="0" t="s">
        <v>614</v>
      </c>
      <c r="F696" s="0" t="s">
        <v>557</v>
      </c>
      <c r="G696" s="0" t="s">
        <v>2853</v>
      </c>
      <c r="H696" s="0" t="s">
        <v>2853</v>
      </c>
      <c r="I696" s="0" t="s">
        <v>615</v>
      </c>
      <c r="J696" s="0" t="s">
        <v>615</v>
      </c>
      <c r="K696" s="0" t="s">
        <v>667</v>
      </c>
      <c r="L696" s="0" t="s">
        <v>32</v>
      </c>
      <c r="M696" s="0" t="s">
        <v>33</v>
      </c>
      <c r="N696" s="0" t="s">
        <v>1030</v>
      </c>
      <c r="O696" s="0" t="s">
        <v>35</v>
      </c>
      <c r="P696" s="0" t="s">
        <v>1380</v>
      </c>
      <c r="Q696" s="0" t="s">
        <v>2967</v>
      </c>
      <c r="R696" s="0" t="s">
        <v>1024</v>
      </c>
      <c r="S696" s="0" t="s">
        <v>1030</v>
      </c>
      <c r="T696" s="0">
        <f>HYPERLINK("https://storage.sslt.ae/ItemVariation/08DCF9B4-B8AE-4920-8336-5F98B9AD6130/3809D905-C062-4BF5-949E-07AEAEA2E519.jpg","Variant Image")</f>
      </c>
      <c r="U696" s="0">
        <f>HYPERLINK("https://ec-qa-storage.kldlms.com/Item/08DCF9B4-B8AE-4920-8336-5F98B9AD6130/E78C144B-FF4F-4923-9A7D-4D6238258625.jpg","Thumbnail Image")</f>
      </c>
      <c r="V696" s="0">
        <f>HYPERLINK("https://ec-qa-storage.kldlms.com/ItemGallery/08DCF9B4-B8AE-4920-8336-5F98B9AD6130/190A4397-90A2-4263-878A-1C33CAFAB0F8.jpg","Gallery Image ")</f>
      </c>
      <c r="W696" s="0" t="s">
        <v>22</v>
      </c>
      <c r="X696" s="0" t="s">
        <v>2968</v>
      </c>
    </row>
    <row r="697">
      <c r="A697" s="0" t="s">
        <v>2854</v>
      </c>
      <c r="B697" s="0" t="s">
        <v>2854</v>
      </c>
      <c r="C697" s="0" t="s">
        <v>2856</v>
      </c>
      <c r="D697" s="0" t="s">
        <v>27</v>
      </c>
      <c r="E697" s="0" t="s">
        <v>614</v>
      </c>
      <c r="F697" s="0" t="s">
        <v>557</v>
      </c>
      <c r="G697" s="0" t="s">
        <v>2854</v>
      </c>
      <c r="H697" s="0" t="s">
        <v>2854</v>
      </c>
      <c r="I697" s="0" t="s">
        <v>615</v>
      </c>
      <c r="J697" s="0" t="s">
        <v>615</v>
      </c>
      <c r="K697" s="0" t="s">
        <v>100</v>
      </c>
      <c r="L697" s="0" t="s">
        <v>32</v>
      </c>
      <c r="M697" s="0" t="s">
        <v>33</v>
      </c>
      <c r="N697" s="0" t="s">
        <v>35</v>
      </c>
      <c r="O697" s="0" t="s">
        <v>35</v>
      </c>
      <c r="P697" s="0" t="s">
        <v>527</v>
      </c>
      <c r="Q697" s="0" t="s">
        <v>2969</v>
      </c>
      <c r="R697" s="0" t="s">
        <v>2856</v>
      </c>
      <c r="S697" s="0" t="s">
        <v>35</v>
      </c>
      <c r="T697" s="0">
        <f>HYPERLINK("https://storage.sslt.ae/ItemVariation/08DCF9B4-B8B7-4416-802B-E9D3C359910C/FF33285A-F2F8-4304-BE4C-EC3B91A65C23.jpg","Variant Image")</f>
      </c>
      <c r="U697" s="0">
        <f>HYPERLINK("https://ec-qa-storage.kldlms.com/Item/08DCF9B4-B8B7-4416-802B-E9D3C359910C/52949533-D0C5-4907-8D8A-DA1604B5097E.jpg","Thumbnail Image")</f>
      </c>
      <c r="V697" s="0">
        <f>HYPERLINK("https://ec-qa-storage.kldlms.com/ItemGallery/08DCF9B4-B8B7-4416-802B-E9D3C359910C/BB6E4C4F-30A6-4EDC-8A7A-5FC68CAD447A.jpg","Gallery Image ")</f>
      </c>
      <c r="W697" s="0" t="s">
        <v>22</v>
      </c>
      <c r="X697" s="0" t="s">
        <v>2970</v>
      </c>
    </row>
    <row r="698">
      <c r="A698" s="0" t="s">
        <v>2857</v>
      </c>
      <c r="B698" s="0" t="s">
        <v>2857</v>
      </c>
      <c r="C698" s="0" t="s">
        <v>2859</v>
      </c>
      <c r="D698" s="0" t="s">
        <v>27</v>
      </c>
      <c r="E698" s="0" t="s">
        <v>614</v>
      </c>
      <c r="F698" s="0" t="s">
        <v>557</v>
      </c>
      <c r="G698" s="0" t="s">
        <v>2857</v>
      </c>
      <c r="H698" s="0" t="s">
        <v>2857</v>
      </c>
      <c r="I698" s="0" t="s">
        <v>615</v>
      </c>
      <c r="J698" s="0" t="s">
        <v>615</v>
      </c>
      <c r="K698" s="0" t="s">
        <v>2858</v>
      </c>
      <c r="L698" s="0" t="s">
        <v>32</v>
      </c>
      <c r="M698" s="0" t="s">
        <v>33</v>
      </c>
      <c r="N698" s="0" t="s">
        <v>32</v>
      </c>
      <c r="O698" s="0" t="s">
        <v>35</v>
      </c>
      <c r="P698" s="0" t="s">
        <v>1380</v>
      </c>
      <c r="Q698" s="0" t="s">
        <v>2971</v>
      </c>
      <c r="R698" s="0" t="s">
        <v>2859</v>
      </c>
      <c r="S698" s="0" t="s">
        <v>92</v>
      </c>
      <c r="T698" s="0">
        <f>HYPERLINK("https://storage.sslt.ae/ItemVariation/08DCF9B4-B8C5-471B-8B7B-11264575042B/8317CCA3-5498-4797-A595-CDF1F48DE045.jpg","Variant Image")</f>
      </c>
      <c r="U698" s="0">
        <f>HYPERLINK("https://ec-qa-storage.kldlms.com/Item/08DCF9B4-B8C5-471B-8B7B-11264575042B/E0306CFB-472A-411C-A91E-ADCCA614D295.jpg","Thumbnail Image")</f>
      </c>
      <c r="V698" s="0">
        <f>HYPERLINK("https://ec-qa-storage.kldlms.com/ItemGallery/08DCF9B4-B8C5-471B-8B7B-11264575042B/AF8336F4-7111-436D-9CB8-E0B0DE0B0AB5.jpg","Gallery Image ")</f>
      </c>
      <c r="W698" s="0" t="s">
        <v>22</v>
      </c>
      <c r="X698" s="0" t="s">
        <v>2972</v>
      </c>
    </row>
    <row r="699">
      <c r="A699" s="0" t="s">
        <v>2860</v>
      </c>
      <c r="B699" s="0" t="s">
        <v>2860</v>
      </c>
      <c r="C699" s="0" t="s">
        <v>2862</v>
      </c>
      <c r="D699" s="0" t="s">
        <v>27</v>
      </c>
      <c r="E699" s="0" t="s">
        <v>614</v>
      </c>
      <c r="F699" s="0" t="s">
        <v>557</v>
      </c>
      <c r="G699" s="0" t="s">
        <v>2860</v>
      </c>
      <c r="H699" s="0" t="s">
        <v>2860</v>
      </c>
      <c r="I699" s="0" t="s">
        <v>615</v>
      </c>
      <c r="J699" s="0" t="s">
        <v>615</v>
      </c>
      <c r="K699" s="0" t="s">
        <v>2861</v>
      </c>
      <c r="L699" s="0" t="s">
        <v>32</v>
      </c>
      <c r="M699" s="0" t="s">
        <v>33</v>
      </c>
      <c r="N699" s="0" t="s">
        <v>32</v>
      </c>
      <c r="O699" s="0" t="s">
        <v>35</v>
      </c>
      <c r="P699" s="0" t="s">
        <v>1323</v>
      </c>
      <c r="Q699" s="0" t="s">
        <v>2861</v>
      </c>
      <c r="R699" s="0" t="s">
        <v>2862</v>
      </c>
      <c r="S699" s="0" t="s">
        <v>32</v>
      </c>
      <c r="T699" s="0">
        <f>HYPERLINK("https://storage.sslt.ae/ItemVariation/08DCF9B4-B8CF-4821-878A-826B5A63FB3C/472CDD56-F466-482D-860A-DFAAC06E6955.jpg","Variant Image")</f>
      </c>
      <c r="U699" s="0">
        <f>HYPERLINK("https://ec-qa-storage.kldlms.com/Item/08DCF9B4-B8CF-4821-878A-826B5A63FB3C/2B8A2144-19ED-4624-82EA-059EECC92D86.jpg","Thumbnail Image")</f>
      </c>
      <c r="V699" s="0">
        <f>HYPERLINK("https://ec-qa-storage.kldlms.com/ItemGallery/08DCF9B4-B8CF-4821-878A-826B5A63FB3C/173ABF07-E908-47DA-BBB3-937A06C33198.jpg","Gallery Image ")</f>
      </c>
      <c r="W699" s="0" t="s">
        <v>22</v>
      </c>
      <c r="X699" s="0" t="s">
        <v>2973</v>
      </c>
    </row>
    <row r="700">
      <c r="A700" s="0" t="s">
        <v>2863</v>
      </c>
      <c r="B700" s="0" t="s">
        <v>2863</v>
      </c>
      <c r="C700" s="0" t="s">
        <v>2865</v>
      </c>
      <c r="D700" s="0" t="s">
        <v>27</v>
      </c>
      <c r="E700" s="0" t="s">
        <v>614</v>
      </c>
      <c r="F700" s="0" t="s">
        <v>557</v>
      </c>
      <c r="G700" s="0" t="s">
        <v>2863</v>
      </c>
      <c r="H700" s="0" t="s">
        <v>2863</v>
      </c>
      <c r="I700" s="0" t="s">
        <v>615</v>
      </c>
      <c r="J700" s="0" t="s">
        <v>615</v>
      </c>
      <c r="K700" s="0" t="s">
        <v>2864</v>
      </c>
      <c r="L700" s="0" t="s">
        <v>32</v>
      </c>
      <c r="M700" s="0" t="s">
        <v>33</v>
      </c>
      <c r="N700" s="0" t="s">
        <v>32</v>
      </c>
      <c r="O700" s="0" t="s">
        <v>35</v>
      </c>
      <c r="P700" s="0" t="s">
        <v>1380</v>
      </c>
      <c r="Q700" s="0" t="s">
        <v>2864</v>
      </c>
      <c r="R700" s="0" t="s">
        <v>2865</v>
      </c>
      <c r="S700" s="0" t="s">
        <v>32</v>
      </c>
      <c r="T700" s="0">
        <f>HYPERLINK("https://storage.sslt.ae/ItemVariation/08DCF9B4-B8D9-45B5-8EC2-54CA1FBDAE27/14BDB224-FB7E-4A08-B24F-5CF0042E8E3D.jpg","Variant Image")</f>
      </c>
      <c r="U700" s="0">
        <f>HYPERLINK("https://ec-qa-storage.kldlms.com/Item/08DCF9B4-B8D9-45B5-8EC2-54CA1FBDAE27/04A309ED-9AEA-4267-B622-ED7F371D2AA2.jpg","Thumbnail Image")</f>
      </c>
      <c r="V700" s="0">
        <f>HYPERLINK("https://ec-qa-storage.kldlms.com/ItemGallery/08DCF9B4-B8D9-45B5-8EC2-54CA1FBDAE27/16D2C552-B0E3-494E-8574-D98EE74CFACD.jpg","Gallery Image ")</f>
      </c>
      <c r="W700" s="0" t="s">
        <v>22</v>
      </c>
      <c r="X700" s="0" t="s">
        <v>2974</v>
      </c>
    </row>
    <row r="701">
      <c r="A701" s="0" t="s">
        <v>2866</v>
      </c>
      <c r="B701" s="0" t="s">
        <v>2866</v>
      </c>
      <c r="C701" s="0" t="s">
        <v>2868</v>
      </c>
      <c r="D701" s="0" t="s">
        <v>27</v>
      </c>
      <c r="E701" s="0" t="s">
        <v>614</v>
      </c>
      <c r="F701" s="0" t="s">
        <v>557</v>
      </c>
      <c r="G701" s="0" t="s">
        <v>2866</v>
      </c>
      <c r="H701" s="0" t="s">
        <v>2866</v>
      </c>
      <c r="I701" s="0" t="s">
        <v>615</v>
      </c>
      <c r="J701" s="0" t="s">
        <v>615</v>
      </c>
      <c r="K701" s="0" t="s">
        <v>2975</v>
      </c>
      <c r="L701" s="0" t="s">
        <v>32</v>
      </c>
      <c r="M701" s="0" t="s">
        <v>33</v>
      </c>
      <c r="N701" s="0" t="s">
        <v>851</v>
      </c>
      <c r="O701" s="0" t="s">
        <v>35</v>
      </c>
      <c r="P701" s="0" t="s">
        <v>1380</v>
      </c>
      <c r="Q701" s="0" t="s">
        <v>2976</v>
      </c>
      <c r="R701" s="0" t="s">
        <v>2868</v>
      </c>
      <c r="S701" s="0" t="s">
        <v>851</v>
      </c>
      <c r="T701" s="0">
        <f>HYPERLINK("https://storage.sslt.ae/ItemVariation/08DCF9B4-B8E4-4EC0-8400-8B1889CC2499/8B8BD00D-1F95-408A-AD32-EC13D2B61071.jpg","Variant Image")</f>
      </c>
      <c r="U701" s="0">
        <f>HYPERLINK("https://ec-qa-storage.kldlms.com/Item/08DCF9B4-B8E4-4EC0-8400-8B1889CC2499/2BAA68B8-48C7-4B37-815D-B8403E76D4F1.jpg","Thumbnail Image")</f>
      </c>
      <c r="V701" s="0">
        <f>HYPERLINK("https://ec-qa-storage.kldlms.com/ItemGallery/08DCF9B4-B8E4-4EC0-8400-8B1889CC2499/1D6410C5-039A-402D-8C31-44BD57E755AF.jpg","Gallery Image ")</f>
      </c>
      <c r="W701" s="0" t="s">
        <v>22</v>
      </c>
      <c r="X701" s="0" t="s">
        <v>2977</v>
      </c>
    </row>
    <row r="702">
      <c r="A702" s="0" t="s">
        <v>2869</v>
      </c>
      <c r="B702" s="0" t="s">
        <v>2869</v>
      </c>
      <c r="C702" s="0" t="s">
        <v>2871</v>
      </c>
      <c r="D702" s="0" t="s">
        <v>27</v>
      </c>
      <c r="E702" s="0" t="s">
        <v>614</v>
      </c>
      <c r="F702" s="0" t="s">
        <v>557</v>
      </c>
      <c r="G702" s="0" t="s">
        <v>2869</v>
      </c>
      <c r="H702" s="0" t="s">
        <v>2869</v>
      </c>
      <c r="I702" s="0" t="s">
        <v>615</v>
      </c>
      <c r="J702" s="0" t="s">
        <v>615</v>
      </c>
      <c r="K702" s="0" t="s">
        <v>2978</v>
      </c>
      <c r="L702" s="0" t="s">
        <v>32</v>
      </c>
      <c r="M702" s="0" t="s">
        <v>33</v>
      </c>
      <c r="N702" s="0" t="s">
        <v>597</v>
      </c>
      <c r="O702" s="0" t="s">
        <v>35</v>
      </c>
      <c r="P702" s="0" t="s">
        <v>1380</v>
      </c>
      <c r="Q702" s="0" t="s">
        <v>2979</v>
      </c>
      <c r="R702" s="0" t="s">
        <v>2871</v>
      </c>
      <c r="S702" s="0" t="s">
        <v>597</v>
      </c>
      <c r="T702" s="0">
        <f>HYPERLINK("https://storage.sslt.ae/ItemVariation/08DCF9B4-B8EE-4695-8E8F-5241A111861D/5FD1CB16-B022-4651-94CA-E16EEBD81668.jpg","Variant Image")</f>
      </c>
      <c r="U702" s="0">
        <f>HYPERLINK("https://ec-qa-storage.kldlms.com/Item/08DCF9B4-B8EE-4695-8E8F-5241A111861D/D6AF2488-D102-44B0-B557-090013812F4D.jpg","Thumbnail Image")</f>
      </c>
      <c r="V702" s="0">
        <f>HYPERLINK("https://ec-qa-storage.kldlms.com/ItemGallery/08DCF9B4-B8EE-4695-8E8F-5241A111861D/CC005B66-0EBA-4E6A-BC9F-ADFBECD9FA62.jpg","Gallery Image ")</f>
      </c>
      <c r="W702" s="0" t="s">
        <v>22</v>
      </c>
      <c r="X702" s="0" t="s">
        <v>2980</v>
      </c>
    </row>
    <row r="703">
      <c r="A703" s="0" t="s">
        <v>2872</v>
      </c>
      <c r="B703" s="0" t="s">
        <v>2872</v>
      </c>
      <c r="C703" s="0" t="s">
        <v>2874</v>
      </c>
      <c r="D703" s="0" t="s">
        <v>27</v>
      </c>
      <c r="E703" s="0" t="s">
        <v>614</v>
      </c>
      <c r="F703" s="0" t="s">
        <v>557</v>
      </c>
      <c r="G703" s="0" t="s">
        <v>2872</v>
      </c>
      <c r="H703" s="0" t="s">
        <v>2872</v>
      </c>
      <c r="I703" s="0" t="s">
        <v>615</v>
      </c>
      <c r="J703" s="0" t="s">
        <v>615</v>
      </c>
      <c r="K703" s="0" t="s">
        <v>2981</v>
      </c>
      <c r="L703" s="0" t="s">
        <v>32</v>
      </c>
      <c r="M703" s="0" t="s">
        <v>33</v>
      </c>
      <c r="N703" s="0" t="s">
        <v>512</v>
      </c>
      <c r="O703" s="0" t="s">
        <v>35</v>
      </c>
      <c r="P703" s="0" t="s">
        <v>1380</v>
      </c>
      <c r="Q703" s="0" t="s">
        <v>2982</v>
      </c>
      <c r="R703" s="0" t="s">
        <v>2874</v>
      </c>
      <c r="S703" s="0" t="s">
        <v>512</v>
      </c>
      <c r="T703" s="0">
        <f>HYPERLINK("https://storage.sslt.ae/ItemVariation/08DCF9B4-B8FC-4770-851B-2AB5B01A683B/E94ECF1C-BAF5-4E02-A2AF-82AB00AE2206.jpg","Variant Image")</f>
      </c>
      <c r="U703" s="0">
        <f>HYPERLINK("https://ec-qa-storage.kldlms.com/Item/08DCF9B4-B8FC-4770-851B-2AB5B01A683B/1CA28DBD-4CCA-43E7-AD3B-554ECFF33926.jpg","Thumbnail Image")</f>
      </c>
      <c r="V703" s="0">
        <f>HYPERLINK("https://ec-qa-storage.kldlms.com/ItemGallery/08DCF9B4-B8FC-4770-851B-2AB5B01A683B/CE0A9C87-3CBD-4ED3-B926-35095EEE6DA8.jpg","Gallery Image ")</f>
      </c>
      <c r="W703" s="0" t="s">
        <v>22</v>
      </c>
      <c r="X703" s="0" t="s">
        <v>2983</v>
      </c>
    </row>
    <row r="704">
      <c r="A704" s="0" t="s">
        <v>2860</v>
      </c>
      <c r="B704" s="0" t="s">
        <v>2860</v>
      </c>
      <c r="C704" s="0" t="s">
        <v>2876</v>
      </c>
      <c r="D704" s="0" t="s">
        <v>27</v>
      </c>
      <c r="E704" s="0" t="s">
        <v>614</v>
      </c>
      <c r="F704" s="0" t="s">
        <v>557</v>
      </c>
      <c r="G704" s="0" t="s">
        <v>2860</v>
      </c>
      <c r="H704" s="0" t="s">
        <v>2860</v>
      </c>
      <c r="I704" s="0" t="s">
        <v>615</v>
      </c>
      <c r="J704" s="0" t="s">
        <v>615</v>
      </c>
      <c r="K704" s="0" t="s">
        <v>2984</v>
      </c>
      <c r="L704" s="0" t="s">
        <v>32</v>
      </c>
      <c r="M704" s="0" t="s">
        <v>33</v>
      </c>
      <c r="N704" s="0" t="s">
        <v>512</v>
      </c>
      <c r="O704" s="0" t="s">
        <v>35</v>
      </c>
      <c r="P704" s="0" t="s">
        <v>1323</v>
      </c>
      <c r="Q704" s="0" t="s">
        <v>2985</v>
      </c>
      <c r="R704" s="0" t="s">
        <v>2876</v>
      </c>
      <c r="S704" s="0" t="s">
        <v>512</v>
      </c>
      <c r="T704" s="0">
        <f>HYPERLINK("https://storage.sslt.ae/ItemVariation/08DCF9B4-B906-45D5-828C-8A25731E1FF6/B4172197-BCF8-438D-90AB-7CA3C67EA906.jpg","Variant Image")</f>
      </c>
      <c r="U704" s="0">
        <f>HYPERLINK("https://ec-qa-storage.kldlms.com/Item/08DCF9B4-B906-45D5-828C-8A25731E1FF6/6016A166-AB96-488D-B14D-D81D53128688.jpg","Thumbnail Image")</f>
      </c>
      <c r="V704" s="0">
        <f>HYPERLINK("https://ec-qa-storage.kldlms.com/ItemGallery/08DCF9B4-B906-45D5-828C-8A25731E1FF6/4D4C6050-9CC3-4959-BCE3-343D5D4EF0DD.jpg","Gallery Image ")</f>
      </c>
      <c r="W704" s="0" t="s">
        <v>22</v>
      </c>
      <c r="X704" s="0" t="s">
        <v>2986</v>
      </c>
    </row>
    <row r="705">
      <c r="A705" s="0" t="s">
        <v>2877</v>
      </c>
      <c r="B705" s="0" t="s">
        <v>2877</v>
      </c>
      <c r="C705" s="0" t="s">
        <v>2879</v>
      </c>
      <c r="D705" s="0" t="s">
        <v>27</v>
      </c>
      <c r="E705" s="0" t="s">
        <v>614</v>
      </c>
      <c r="F705" s="0" t="s">
        <v>557</v>
      </c>
      <c r="G705" s="0" t="s">
        <v>2877</v>
      </c>
      <c r="H705" s="0" t="s">
        <v>2877</v>
      </c>
      <c r="I705" s="0" t="s">
        <v>615</v>
      </c>
      <c r="J705" s="0" t="s">
        <v>615</v>
      </c>
      <c r="K705" s="0" t="s">
        <v>2987</v>
      </c>
      <c r="L705" s="0" t="s">
        <v>32</v>
      </c>
      <c r="M705" s="0" t="s">
        <v>33</v>
      </c>
      <c r="N705" s="0" t="s">
        <v>787</v>
      </c>
      <c r="O705" s="0" t="s">
        <v>35</v>
      </c>
      <c r="P705" s="0" t="s">
        <v>1323</v>
      </c>
      <c r="Q705" s="0" t="s">
        <v>2988</v>
      </c>
      <c r="R705" s="0" t="s">
        <v>2879</v>
      </c>
      <c r="S705" s="0" t="s">
        <v>787</v>
      </c>
      <c r="T705" s="0">
        <f>HYPERLINK("https://storage.sslt.ae/ItemVariation/08DCF9B4-B910-4AC3-85BF-D5B03DC7BEFA/B9A8EA86-059D-4832-A66B-53880C1FEFB9.jpg","Variant Image")</f>
      </c>
      <c r="U705" s="0">
        <f>HYPERLINK("https://ec-qa-storage.kldlms.com/Item/08DCF9B4-B910-4AC3-85BF-D5B03DC7BEFA/072EAA0E-2708-41E0-AB68-3F2A73196322.jpg","Thumbnail Image")</f>
      </c>
      <c r="V705" s="0">
        <f>HYPERLINK("https://ec-qa-storage.kldlms.com/ItemGallery/08DCF9B4-B910-4AC3-85BF-D5B03DC7BEFA/657492A2-A21A-4C73-BA39-A3756140B0D1.jpg","Gallery Image ")</f>
      </c>
      <c r="W705" s="0" t="s">
        <v>22</v>
      </c>
      <c r="X705" s="0" t="s">
        <v>2989</v>
      </c>
    </row>
    <row r="706">
      <c r="A706" s="0" t="s">
        <v>2860</v>
      </c>
      <c r="B706" s="0" t="s">
        <v>2860</v>
      </c>
      <c r="C706" s="0" t="s">
        <v>2881</v>
      </c>
      <c r="D706" s="0" t="s">
        <v>27</v>
      </c>
      <c r="E706" s="0" t="s">
        <v>614</v>
      </c>
      <c r="F706" s="0" t="s">
        <v>557</v>
      </c>
      <c r="G706" s="0" t="s">
        <v>2860</v>
      </c>
      <c r="H706" s="0" t="s">
        <v>2860</v>
      </c>
      <c r="I706" s="0" t="s">
        <v>615</v>
      </c>
      <c r="J706" s="0" t="s">
        <v>615</v>
      </c>
      <c r="K706" s="0" t="s">
        <v>2990</v>
      </c>
      <c r="L706" s="0" t="s">
        <v>32</v>
      </c>
      <c r="M706" s="0" t="s">
        <v>33</v>
      </c>
      <c r="N706" s="0" t="s">
        <v>164</v>
      </c>
      <c r="O706" s="0" t="s">
        <v>35</v>
      </c>
      <c r="P706" s="0" t="s">
        <v>527</v>
      </c>
      <c r="Q706" s="0" t="s">
        <v>2991</v>
      </c>
      <c r="R706" s="0" t="s">
        <v>2881</v>
      </c>
      <c r="S706" s="0" t="s">
        <v>164</v>
      </c>
      <c r="T706" s="0">
        <f>HYPERLINK("https://storage.sslt.ae/ItemVariation/08DCF9B4-B91A-4ABA-82BB-D05B213B79E7/E9B7F9FB-D7A2-4CF6-B5F3-99DE7EFAA97F.jpg","Variant Image")</f>
      </c>
      <c r="U706" s="0">
        <f>HYPERLINK("https://ec-qa-storage.kldlms.com/Item/08DCF9B4-B91A-4ABA-82BB-D05B213B79E7/02F0C5D9-E4A9-4D2F-AE9D-E063062B28C0.jpg","Thumbnail Image")</f>
      </c>
      <c r="V706" s="0">
        <f>HYPERLINK("https://ec-qa-storage.kldlms.com/ItemGallery/08DCF9B4-B91A-4ABA-82BB-D05B213B79E7/C932C8CB-0E4B-4038-B356-CC3159E23493.jpg","Gallery Image ")</f>
      </c>
      <c r="W706" s="0" t="s">
        <v>22</v>
      </c>
      <c r="X706" s="0" t="s">
        <v>2992</v>
      </c>
    </row>
    <row r="707">
      <c r="A707" s="0" t="s">
        <v>2860</v>
      </c>
      <c r="B707" s="0" t="s">
        <v>2860</v>
      </c>
      <c r="C707" s="0" t="s">
        <v>2883</v>
      </c>
      <c r="D707" s="0" t="s">
        <v>27</v>
      </c>
      <c r="E707" s="0" t="s">
        <v>614</v>
      </c>
      <c r="F707" s="0" t="s">
        <v>557</v>
      </c>
      <c r="G707" s="0" t="s">
        <v>2860</v>
      </c>
      <c r="H707" s="0" t="s">
        <v>2860</v>
      </c>
      <c r="I707" s="0" t="s">
        <v>615</v>
      </c>
      <c r="J707" s="0" t="s">
        <v>615</v>
      </c>
      <c r="K707" s="0" t="s">
        <v>2882</v>
      </c>
      <c r="L707" s="0" t="s">
        <v>32</v>
      </c>
      <c r="M707" s="0" t="s">
        <v>33</v>
      </c>
      <c r="N707" s="0" t="s">
        <v>100</v>
      </c>
      <c r="O707" s="0" t="s">
        <v>35</v>
      </c>
      <c r="P707" s="0" t="s">
        <v>1323</v>
      </c>
      <c r="Q707" s="0" t="s">
        <v>2993</v>
      </c>
      <c r="R707" s="0" t="s">
        <v>2883</v>
      </c>
      <c r="S707" s="0" t="s">
        <v>100</v>
      </c>
      <c r="T707" s="0">
        <f>HYPERLINK("https://storage.sslt.ae/ItemVariation/08DCF9B4-B929-452F-8AFF-B48F25B34B2A/207700D5-C4A1-4126-A64B-33104554F948.jpg","Variant Image")</f>
      </c>
      <c r="U707" s="0">
        <f>HYPERLINK("https://ec-qa-storage.kldlms.com/Item/08DCF9B4-B929-452F-8AFF-B48F25B34B2A/AC2557F0-C712-4614-8A31-0B0F8513F072.jpg","Thumbnail Image")</f>
      </c>
      <c r="V707" s="0">
        <f>HYPERLINK("https://ec-qa-storage.kldlms.com/ItemGallery/08DCF9B4-B929-452F-8AFF-B48F25B34B2A/50EF35AA-8951-4181-AE8C-B45799D1CE20.jpg","Gallery Image ")</f>
      </c>
      <c r="W707" s="0" t="s">
        <v>22</v>
      </c>
      <c r="X707" s="0" t="s">
        <v>2994</v>
      </c>
    </row>
    <row r="708">
      <c r="A708" s="0" t="s">
        <v>612</v>
      </c>
      <c r="B708" s="0" t="s">
        <v>612</v>
      </c>
      <c r="C708" s="0" t="s">
        <v>618</v>
      </c>
      <c r="D708" s="0" t="s">
        <v>27</v>
      </c>
      <c r="E708" s="0" t="s">
        <v>614</v>
      </c>
      <c r="F708" s="0" t="s">
        <v>557</v>
      </c>
      <c r="G708" s="0" t="s">
        <v>612</v>
      </c>
      <c r="H708" s="0" t="s">
        <v>612</v>
      </c>
      <c r="I708" s="0" t="s">
        <v>615</v>
      </c>
      <c r="J708" s="0" t="s">
        <v>615</v>
      </c>
      <c r="K708" s="0" t="s">
        <v>550</v>
      </c>
      <c r="L708" s="0" t="s">
        <v>32</v>
      </c>
      <c r="M708" s="0" t="s">
        <v>33</v>
      </c>
      <c r="N708" s="0" t="s">
        <v>2995</v>
      </c>
      <c r="O708" s="0" t="s">
        <v>35</v>
      </c>
      <c r="P708" s="0" t="s">
        <v>527</v>
      </c>
      <c r="Q708" s="0" t="s">
        <v>552</v>
      </c>
      <c r="R708" s="0" t="s">
        <v>618</v>
      </c>
      <c r="S708" s="0" t="s">
        <v>2995</v>
      </c>
      <c r="T708" s="0">
        <f>HYPERLINK("https://storage.sslt.ae/ItemVariation/08DCF9B4-B934-4504-8E55-178D5D6BEE9A/DAE0B11F-45C7-495A-BB6B-6CC16B52210A.jpg","Variant Image")</f>
      </c>
      <c r="U708" s="0">
        <f>HYPERLINK("https://ec-qa-storage.kldlms.com/Item/08DCF9B4-B934-4504-8E55-178D5D6BEE9A/75B0601A-2B80-48ED-8EFF-A844AB0F0CAC.jpg","Thumbnail Image")</f>
      </c>
      <c r="V708" s="0">
        <f>HYPERLINK("https://ec-qa-storage.kldlms.com/ItemGallery/08DCF9B4-B934-4504-8E55-178D5D6BEE9A/2F73712F-CFE7-41C7-BAA7-059DD47A1670.jpg","Gallery Image ")</f>
      </c>
      <c r="W708" s="0" t="s">
        <v>22</v>
      </c>
      <c r="X708" s="0" t="s">
        <v>2996</v>
      </c>
    </row>
    <row r="709">
      <c r="A709" s="0" t="s">
        <v>2884</v>
      </c>
      <c r="B709" s="0" t="s">
        <v>2884</v>
      </c>
      <c r="C709" s="0" t="s">
        <v>2886</v>
      </c>
      <c r="D709" s="0" t="s">
        <v>27</v>
      </c>
      <c r="E709" s="0" t="s">
        <v>614</v>
      </c>
      <c r="F709" s="0" t="s">
        <v>557</v>
      </c>
      <c r="G709" s="0" t="s">
        <v>2884</v>
      </c>
      <c r="H709" s="0" t="s">
        <v>2884</v>
      </c>
      <c r="I709" s="0" t="s">
        <v>615</v>
      </c>
      <c r="J709" s="0" t="s">
        <v>615</v>
      </c>
      <c r="K709" s="0" t="s">
        <v>2997</v>
      </c>
      <c r="L709" s="0" t="s">
        <v>32</v>
      </c>
      <c r="M709" s="0" t="s">
        <v>33</v>
      </c>
      <c r="N709" s="0" t="s">
        <v>140</v>
      </c>
      <c r="O709" s="0" t="s">
        <v>35</v>
      </c>
      <c r="P709" s="0" t="s">
        <v>527</v>
      </c>
      <c r="Q709" s="0" t="s">
        <v>2998</v>
      </c>
      <c r="R709" s="0" t="s">
        <v>2886</v>
      </c>
      <c r="S709" s="0" t="s">
        <v>140</v>
      </c>
      <c r="T709" s="0">
        <f>HYPERLINK("https://storage.sslt.ae/ItemVariation/08DCF9B4-B93F-425D-8742-4D998FFBA8AE/A8DDCBDD-9A20-400A-B24F-3529477F715C.jpg","Variant Image")</f>
      </c>
      <c r="U709" s="0">
        <f>HYPERLINK("https://ec-qa-storage.kldlms.com/Item/08DCF9B4-B93F-425D-8742-4D998FFBA8AE/4C6BDD46-EDA3-4E85-A8CD-3B522124C526.jpg","Thumbnail Image")</f>
      </c>
      <c r="V709" s="0">
        <f>HYPERLINK("https://ec-qa-storage.kldlms.com/ItemGallery/08DCF9B4-B93F-425D-8742-4D998FFBA8AE/A0986EAD-DB6F-40CF-BEB8-FAF9327BD7B6.jpg","Gallery Image ")</f>
      </c>
      <c r="W709" s="0" t="s">
        <v>22</v>
      </c>
      <c r="X709" s="0" t="s">
        <v>2999</v>
      </c>
    </row>
    <row r="710">
      <c r="A710" s="0" t="s">
        <v>2887</v>
      </c>
      <c r="B710" s="0" t="s">
        <v>2887</v>
      </c>
      <c r="C710" s="0" t="s">
        <v>1103</v>
      </c>
      <c r="D710" s="0" t="s">
        <v>27</v>
      </c>
      <c r="E710" s="0" t="s">
        <v>614</v>
      </c>
      <c r="F710" s="0" t="s">
        <v>557</v>
      </c>
      <c r="G710" s="0" t="s">
        <v>2887</v>
      </c>
      <c r="H710" s="0" t="s">
        <v>2887</v>
      </c>
      <c r="I710" s="0" t="s">
        <v>615</v>
      </c>
      <c r="J710" s="0" t="s">
        <v>615</v>
      </c>
      <c r="K710" s="0" t="s">
        <v>3000</v>
      </c>
      <c r="L710" s="0" t="s">
        <v>32</v>
      </c>
      <c r="M710" s="0" t="s">
        <v>33</v>
      </c>
      <c r="N710" s="0" t="s">
        <v>404</v>
      </c>
      <c r="O710" s="0" t="s">
        <v>35</v>
      </c>
      <c r="P710" s="0" t="s">
        <v>1312</v>
      </c>
      <c r="Q710" s="0" t="s">
        <v>3001</v>
      </c>
      <c r="R710" s="0" t="s">
        <v>1103</v>
      </c>
      <c r="S710" s="0" t="s">
        <v>404</v>
      </c>
      <c r="T710" s="0">
        <f>HYPERLINK("https://storage.sslt.ae/ItemVariation/08DCF9B4-B948-4C7C-823D-C27BBAB0B936/7CB978D0-BD29-4582-8F08-F93DCE78D5D0.jpg","Variant Image")</f>
      </c>
      <c r="U710" s="0">
        <f>HYPERLINK("https://ec-qa-storage.kldlms.com/Item/08DCF9B4-B948-4C7C-823D-C27BBAB0B936/1E7EB5CD-C905-4553-A8C0-95B570C0C897.jpg","Thumbnail Image")</f>
      </c>
      <c r="V710" s="0">
        <f>HYPERLINK("https://ec-qa-storage.kldlms.com/ItemGallery/08DCF9B4-B948-4C7C-823D-C27BBAB0B936/99A05534-1893-4B79-A691-471B2266BADB.jpg","Gallery Image ")</f>
      </c>
      <c r="W710" s="0" t="s">
        <v>22</v>
      </c>
      <c r="X710" s="0" t="s">
        <v>1104</v>
      </c>
    </row>
    <row r="711">
      <c r="A711" s="0" t="s">
        <v>2889</v>
      </c>
      <c r="B711" s="0" t="s">
        <v>2889</v>
      </c>
      <c r="C711" s="0" t="s">
        <v>2891</v>
      </c>
      <c r="D711" s="0" t="s">
        <v>27</v>
      </c>
      <c r="E711" s="0" t="s">
        <v>614</v>
      </c>
      <c r="F711" s="0" t="s">
        <v>557</v>
      </c>
      <c r="G711" s="0" t="s">
        <v>2889</v>
      </c>
      <c r="H711" s="0" t="s">
        <v>2889</v>
      </c>
      <c r="I711" s="0" t="s">
        <v>615</v>
      </c>
      <c r="J711" s="0" t="s">
        <v>615</v>
      </c>
      <c r="K711" s="0" t="s">
        <v>3002</v>
      </c>
      <c r="L711" s="0" t="s">
        <v>32</v>
      </c>
      <c r="M711" s="0" t="s">
        <v>33</v>
      </c>
      <c r="N711" s="0" t="s">
        <v>100</v>
      </c>
      <c r="O711" s="0" t="s">
        <v>35</v>
      </c>
      <c r="P711" s="0" t="s">
        <v>1380</v>
      </c>
      <c r="Q711" s="0" t="s">
        <v>3003</v>
      </c>
      <c r="R711" s="0" t="s">
        <v>2891</v>
      </c>
      <c r="S711" s="0" t="s">
        <v>100</v>
      </c>
      <c r="T711" s="0">
        <f>HYPERLINK("https://storage.sslt.ae/ItemVariation/08DCF9B4-B952-4E37-8B06-A28AC8EC25D5/00D225D4-8C13-4AD3-B047-4C02461242FC.jpg","Variant Image")</f>
      </c>
      <c r="U711" s="0">
        <f>HYPERLINK("https://ec-qa-storage.kldlms.com/Item/08DCF9B4-B952-4E37-8B06-A28AC8EC25D5/8F49EF27-B200-4C9B-A32C-100F2489226F.jpg","Thumbnail Image")</f>
      </c>
      <c r="V711" s="0">
        <f>HYPERLINK("https://ec-qa-storage.kldlms.com/ItemGallery/08DCF9B4-B952-4E37-8B06-A28AC8EC25D5/E28E383D-521C-4B14-81DC-BDAE0FCB8AA2.jpg","Gallery Image ")</f>
      </c>
      <c r="W711" s="0" t="s">
        <v>22</v>
      </c>
      <c r="X711" s="0" t="s">
        <v>3004</v>
      </c>
    </row>
    <row r="712">
      <c r="A712" s="0" t="s">
        <v>2892</v>
      </c>
      <c r="B712" s="0" t="s">
        <v>2892</v>
      </c>
      <c r="C712" s="0" t="s">
        <v>2894</v>
      </c>
      <c r="D712" s="0" t="s">
        <v>27</v>
      </c>
      <c r="E712" s="0" t="s">
        <v>614</v>
      </c>
      <c r="F712" s="0" t="s">
        <v>557</v>
      </c>
      <c r="G712" s="0" t="s">
        <v>2892</v>
      </c>
      <c r="H712" s="0" t="s">
        <v>2892</v>
      </c>
      <c r="I712" s="0" t="s">
        <v>615</v>
      </c>
      <c r="J712" s="0" t="s">
        <v>615</v>
      </c>
      <c r="K712" s="0" t="s">
        <v>3005</v>
      </c>
      <c r="L712" s="0" t="s">
        <v>32</v>
      </c>
      <c r="M712" s="0" t="s">
        <v>33</v>
      </c>
      <c r="N712" s="0" t="s">
        <v>110</v>
      </c>
      <c r="O712" s="0" t="s">
        <v>35</v>
      </c>
      <c r="P712" s="0" t="s">
        <v>527</v>
      </c>
      <c r="Q712" s="0" t="s">
        <v>3006</v>
      </c>
      <c r="R712" s="0" t="s">
        <v>2894</v>
      </c>
      <c r="S712" s="0" t="s">
        <v>110</v>
      </c>
      <c r="T712" s="0">
        <f>HYPERLINK("https://storage.sslt.ae/ItemVariation/08DCF9B4-B95C-4AAF-85D1-153433A90B08/AB714918-FFB3-441F-8731-74A65D5FDC65.jpg","Variant Image")</f>
      </c>
      <c r="U712" s="0">
        <f>HYPERLINK("https://ec-qa-storage.kldlms.com/Item/08DCF9B4-B95C-4AAF-85D1-153433A90B08/D520AA3C-6DD2-4BCE-91DA-795503A7E9C1.jpg","Thumbnail Image")</f>
      </c>
      <c r="V712" s="0">
        <f>HYPERLINK("https://ec-qa-storage.kldlms.com/ItemGallery/08DCF9B4-B95C-4AAF-85D1-153433A90B08/0D590932-CD76-4B7A-8FDF-B53C1ACC8BB2.jpg","Gallery Image ")</f>
      </c>
      <c r="W712" s="0" t="s">
        <v>22</v>
      </c>
      <c r="X712" s="0" t="s">
        <v>3007</v>
      </c>
    </row>
    <row r="713">
      <c r="A713" s="0" t="s">
        <v>2892</v>
      </c>
      <c r="B713" s="0" t="s">
        <v>2892</v>
      </c>
      <c r="C713" s="0" t="s">
        <v>2896</v>
      </c>
      <c r="D713" s="0" t="s">
        <v>27</v>
      </c>
      <c r="E713" s="0" t="s">
        <v>614</v>
      </c>
      <c r="F713" s="0" t="s">
        <v>557</v>
      </c>
      <c r="G713" s="0" t="s">
        <v>2892</v>
      </c>
      <c r="H713" s="0" t="s">
        <v>2892</v>
      </c>
      <c r="I713" s="0" t="s">
        <v>615</v>
      </c>
      <c r="J713" s="0" t="s">
        <v>615</v>
      </c>
      <c r="K713" s="0" t="s">
        <v>3008</v>
      </c>
      <c r="L713" s="0" t="s">
        <v>32</v>
      </c>
      <c r="M713" s="0" t="s">
        <v>33</v>
      </c>
      <c r="N713" s="0" t="s">
        <v>404</v>
      </c>
      <c r="O713" s="0" t="s">
        <v>35</v>
      </c>
      <c r="P713" s="0" t="s">
        <v>1323</v>
      </c>
      <c r="Q713" s="0" t="s">
        <v>3009</v>
      </c>
      <c r="R713" s="0" t="s">
        <v>2896</v>
      </c>
      <c r="S713" s="0" t="s">
        <v>404</v>
      </c>
      <c r="T713" s="0">
        <f>HYPERLINK("https://storage.sslt.ae/ItemVariation/08DCF9B4-B966-441D-8481-1B61DE4B9B05/9798D931-01B2-4D0B-B5C4-8E7ACCBA4F64.jpg","Variant Image")</f>
      </c>
      <c r="U713" s="0">
        <f>HYPERLINK("https://ec-qa-storage.kldlms.com/Item/08DCF9B4-B966-441D-8481-1B61DE4B9B05/434F1692-C911-40DE-8267-F9101081E57F.jpg","Thumbnail Image")</f>
      </c>
      <c r="V713" s="0">
        <f>HYPERLINK("https://ec-qa-storage.kldlms.com/ItemGallery/08DCF9B4-B966-441D-8481-1B61DE4B9B05/CC2B29E6-1C4F-442C-A4E4-F14C889DA22C.jpg","Gallery Image ")</f>
      </c>
      <c r="W713" s="0" t="s">
        <v>22</v>
      </c>
      <c r="X713" s="0" t="s">
        <v>3010</v>
      </c>
    </row>
    <row r="714">
      <c r="A714" s="0" t="s">
        <v>2892</v>
      </c>
      <c r="B714" s="0" t="s">
        <v>2892</v>
      </c>
      <c r="C714" s="0" t="s">
        <v>2898</v>
      </c>
      <c r="D714" s="0" t="s">
        <v>27</v>
      </c>
      <c r="E714" s="0" t="s">
        <v>614</v>
      </c>
      <c r="F714" s="0" t="s">
        <v>557</v>
      </c>
      <c r="G714" s="0" t="s">
        <v>2892</v>
      </c>
      <c r="H714" s="0" t="s">
        <v>2892</v>
      </c>
      <c r="I714" s="0" t="s">
        <v>615</v>
      </c>
      <c r="J714" s="0" t="s">
        <v>615</v>
      </c>
      <c r="K714" s="0" t="s">
        <v>3011</v>
      </c>
      <c r="L714" s="0" t="s">
        <v>32</v>
      </c>
      <c r="M714" s="0" t="s">
        <v>33</v>
      </c>
      <c r="N714" s="0" t="s">
        <v>337</v>
      </c>
      <c r="O714" s="0" t="s">
        <v>35</v>
      </c>
      <c r="P714" s="0" t="s">
        <v>1323</v>
      </c>
      <c r="Q714" s="0" t="s">
        <v>3012</v>
      </c>
      <c r="R714" s="0" t="s">
        <v>2898</v>
      </c>
      <c r="S714" s="0" t="s">
        <v>337</v>
      </c>
      <c r="T714" s="0">
        <f>HYPERLINK("https://storage.sslt.ae/ItemVariation/08DCF9B4-B96F-4998-8B48-55F6B8D879E6/0AF163ED-E482-4BDC-A953-B4C3C9F8C87D.jpg","Variant Image")</f>
      </c>
      <c r="U714" s="0">
        <f>HYPERLINK("https://ec-qa-storage.kldlms.com/Item/08DCF9B4-B96F-4998-8B48-55F6B8D879E6/2FE12CEB-9476-4480-BCB6-4B33F46767E2.jpg","Thumbnail Image")</f>
      </c>
      <c r="V714" s="0">
        <f>HYPERLINK("https://ec-qa-storage.kldlms.com/ItemGallery/08DCF9B4-B96F-4998-8B48-55F6B8D879E6/E7007B9F-DC80-4027-8BA0-A727B8FAC173.jpg","Gallery Image ")</f>
      </c>
      <c r="W714" s="0" t="s">
        <v>22</v>
      </c>
      <c r="X714" s="0" t="s">
        <v>3013</v>
      </c>
    </row>
    <row r="715">
      <c r="A715" s="0" t="s">
        <v>2899</v>
      </c>
      <c r="B715" s="0" t="s">
        <v>2899</v>
      </c>
      <c r="C715" s="0" t="s">
        <v>2901</v>
      </c>
      <c r="D715" s="0" t="s">
        <v>27</v>
      </c>
      <c r="E715" s="0" t="s">
        <v>614</v>
      </c>
      <c r="F715" s="0" t="s">
        <v>557</v>
      </c>
      <c r="G715" s="0" t="s">
        <v>2899</v>
      </c>
      <c r="H715" s="0" t="s">
        <v>2899</v>
      </c>
      <c r="I715" s="0" t="s">
        <v>615</v>
      </c>
      <c r="J715" s="0" t="s">
        <v>615</v>
      </c>
      <c r="K715" s="0" t="s">
        <v>3014</v>
      </c>
      <c r="L715" s="0" t="s">
        <v>32</v>
      </c>
      <c r="M715" s="0" t="s">
        <v>33</v>
      </c>
      <c r="N715" s="0" t="s">
        <v>276</v>
      </c>
      <c r="O715" s="0" t="s">
        <v>35</v>
      </c>
      <c r="P715" s="0" t="s">
        <v>527</v>
      </c>
      <c r="Q715" s="0" t="s">
        <v>3015</v>
      </c>
      <c r="R715" s="0" t="s">
        <v>2901</v>
      </c>
      <c r="S715" s="0" t="s">
        <v>276</v>
      </c>
      <c r="T715" s="0">
        <f>HYPERLINK("https://storage.sslt.ae/ItemVariation/08DCF9B4-B978-4DA5-8DD6-AD4E2E2DCB6C/D4A1F1F4-3640-47E8-91E0-7A702B7685A3.jpg","Variant Image")</f>
      </c>
      <c r="U715" s="0">
        <f>HYPERLINK("https://ec-qa-storage.kldlms.com/Item/08DCF9B4-B978-4DA5-8DD6-AD4E2E2DCB6C/08482157-6B18-4B27-A0A8-5054255EFD44.jpg","Thumbnail Image")</f>
      </c>
      <c r="V715" s="0">
        <f>HYPERLINK("https://ec-qa-storage.kldlms.com/ItemGallery/08DCF9B4-B978-4DA5-8DD6-AD4E2E2DCB6C/4FAE42E1-46EC-4B2C-B5BA-3B117B7FDA77.jpg","Gallery Image ")</f>
      </c>
      <c r="W715" s="0" t="s">
        <v>22</v>
      </c>
      <c r="X715" s="0" t="s">
        <v>3016</v>
      </c>
    </row>
    <row r="716">
      <c r="A716" s="0" t="s">
        <v>2902</v>
      </c>
      <c r="B716" s="0" t="s">
        <v>2902</v>
      </c>
      <c r="C716" s="0" t="s">
        <v>2904</v>
      </c>
      <c r="D716" s="0" t="s">
        <v>27</v>
      </c>
      <c r="E716" s="0" t="s">
        <v>614</v>
      </c>
      <c r="F716" s="0" t="s">
        <v>557</v>
      </c>
      <c r="G716" s="0" t="s">
        <v>2902</v>
      </c>
      <c r="H716" s="0" t="s">
        <v>2902</v>
      </c>
      <c r="I716" s="0" t="s">
        <v>615</v>
      </c>
      <c r="J716" s="0" t="s">
        <v>615</v>
      </c>
      <c r="K716" s="0" t="s">
        <v>2903</v>
      </c>
      <c r="L716" s="0" t="s">
        <v>32</v>
      </c>
      <c r="M716" s="0" t="s">
        <v>33</v>
      </c>
      <c r="N716" s="0" t="s">
        <v>35</v>
      </c>
      <c r="O716" s="0" t="s">
        <v>35</v>
      </c>
      <c r="P716" s="0" t="s">
        <v>1323</v>
      </c>
      <c r="Q716" s="0" t="s">
        <v>3017</v>
      </c>
      <c r="R716" s="0" t="s">
        <v>2904</v>
      </c>
      <c r="S716" s="0" t="s">
        <v>35</v>
      </c>
      <c r="T716" s="0">
        <f>HYPERLINK("https://storage.sslt.ae/ItemVariation/08DCF9B4-B982-4289-8242-B8DB336B810A/F9408E00-1C74-43AD-A798-2FA14B6DD2EF.jpg","Variant Image")</f>
      </c>
      <c r="U716" s="0">
        <f>HYPERLINK("https://ec-qa-storage.kldlms.com/Item/08DCF9B4-B982-4289-8242-B8DB336B810A/AD78AD21-5B38-4972-980C-A9906AF965CA.jpg","Thumbnail Image")</f>
      </c>
      <c r="V716" s="0">
        <f>HYPERLINK("https://ec-qa-storage.kldlms.com/ItemGallery/08DCF9B4-B982-4289-8242-B8DB336B810A/10E0CF18-D88E-4738-BB86-0F63135A46A9.jpg","Gallery Image ")</f>
      </c>
      <c r="W716" s="0" t="s">
        <v>22</v>
      </c>
      <c r="X716" s="0" t="s">
        <v>3018</v>
      </c>
    </row>
    <row r="717">
      <c r="A717" s="0" t="s">
        <v>2905</v>
      </c>
      <c r="B717" s="0" t="s">
        <v>2905</v>
      </c>
      <c r="C717" s="0" t="s">
        <v>2907</v>
      </c>
      <c r="D717" s="0" t="s">
        <v>27</v>
      </c>
      <c r="E717" s="0" t="s">
        <v>614</v>
      </c>
      <c r="F717" s="0" t="s">
        <v>557</v>
      </c>
      <c r="G717" s="0" t="s">
        <v>2905</v>
      </c>
      <c r="H717" s="0" t="s">
        <v>2905</v>
      </c>
      <c r="I717" s="0" t="s">
        <v>615</v>
      </c>
      <c r="J717" s="0" t="s">
        <v>615</v>
      </c>
      <c r="K717" s="0" t="s">
        <v>3019</v>
      </c>
      <c r="L717" s="0" t="s">
        <v>32</v>
      </c>
      <c r="M717" s="0" t="s">
        <v>33</v>
      </c>
      <c r="N717" s="0" t="s">
        <v>164</v>
      </c>
      <c r="O717" s="0" t="s">
        <v>35</v>
      </c>
      <c r="P717" s="0" t="s">
        <v>527</v>
      </c>
      <c r="Q717" s="0" t="s">
        <v>3020</v>
      </c>
      <c r="R717" s="0" t="s">
        <v>2907</v>
      </c>
      <c r="S717" s="0" t="s">
        <v>164</v>
      </c>
      <c r="T717" s="0">
        <f>HYPERLINK("https://storage.sslt.ae/ItemVariation/08DCF9B4-B98A-4C13-839D-04E2E3378876/6AE967D7-5E93-4B9E-9ADD-861BC9D950EF.jpg","Variant Image")</f>
      </c>
      <c r="U717" s="0">
        <f>HYPERLINK("https://ec-qa-storage.kldlms.com/Item/08DCF9B4-B98A-4C13-839D-04E2E3378876/7E5B8BEE-A497-4A12-9AF8-283EA4D633F9.jpg","Thumbnail Image")</f>
      </c>
      <c r="V717" s="0">
        <f>HYPERLINK("https://ec-qa-storage.kldlms.com/ItemGallery/08DCF9B4-B98A-4C13-839D-04E2E3378876/318D0695-4AC8-4D5B-B9E6-FB710EEB53EE.jpg","Gallery Image ")</f>
      </c>
      <c r="W717" s="0" t="s">
        <v>22</v>
      </c>
      <c r="X717" s="0" t="s">
        <v>3021</v>
      </c>
    </row>
    <row r="718">
      <c r="A718" s="0" t="s">
        <v>2905</v>
      </c>
      <c r="B718" s="0" t="s">
        <v>2905</v>
      </c>
      <c r="C718" s="0" t="s">
        <v>2909</v>
      </c>
      <c r="D718" s="0" t="s">
        <v>27</v>
      </c>
      <c r="E718" s="0" t="s">
        <v>614</v>
      </c>
      <c r="F718" s="0" t="s">
        <v>557</v>
      </c>
      <c r="G718" s="0" t="s">
        <v>2905</v>
      </c>
      <c r="H718" s="0" t="s">
        <v>2905</v>
      </c>
      <c r="I718" s="0" t="s">
        <v>615</v>
      </c>
      <c r="J718" s="0" t="s">
        <v>615</v>
      </c>
      <c r="K718" s="0" t="s">
        <v>3022</v>
      </c>
      <c r="L718" s="0" t="s">
        <v>32</v>
      </c>
      <c r="M718" s="0" t="s">
        <v>33</v>
      </c>
      <c r="N718" s="0" t="s">
        <v>155</v>
      </c>
      <c r="O718" s="0" t="s">
        <v>35</v>
      </c>
      <c r="P718" s="0" t="s">
        <v>1323</v>
      </c>
      <c r="Q718" s="0" t="s">
        <v>3023</v>
      </c>
      <c r="R718" s="0" t="s">
        <v>2909</v>
      </c>
      <c r="S718" s="0" t="s">
        <v>155</v>
      </c>
      <c r="T718" s="0">
        <f>HYPERLINK("https://storage.sslt.ae/ItemVariation/08DCF9B4-B994-4932-8FF3-19E07BF80E1C/A31D8FD4-BF27-4040-A818-25A19719E2E1.jpg","Variant Image")</f>
      </c>
      <c r="U718" s="0">
        <f>HYPERLINK("https://ec-qa-storage.kldlms.com/Item/08DCF9B4-B994-4932-8FF3-19E07BF80E1C/9BBB5338-05FA-463F-8109-720A2AE379F5.jpg","Thumbnail Image")</f>
      </c>
      <c r="V718" s="0">
        <f>HYPERLINK("https://ec-qa-storage.kldlms.com/ItemGallery/08DCF9B4-B994-4932-8FF3-19E07BF80E1C/46263CA6-4C7F-4150-B719-3290CE25BB74.jpg","Gallery Image ")</f>
      </c>
      <c r="W718" s="0" t="s">
        <v>22</v>
      </c>
      <c r="X718" s="0" t="s">
        <v>3024</v>
      </c>
    </row>
    <row r="719">
      <c r="A719" s="0" t="s">
        <v>2910</v>
      </c>
      <c r="B719" s="0" t="s">
        <v>2910</v>
      </c>
      <c r="C719" s="0" t="s">
        <v>2912</v>
      </c>
      <c r="D719" s="0" t="s">
        <v>27</v>
      </c>
      <c r="E719" s="0" t="s">
        <v>614</v>
      </c>
      <c r="F719" s="0" t="s">
        <v>557</v>
      </c>
      <c r="G719" s="0" t="s">
        <v>2910</v>
      </c>
      <c r="H719" s="0" t="s">
        <v>2910</v>
      </c>
      <c r="I719" s="0" t="s">
        <v>615</v>
      </c>
      <c r="J719" s="0" t="s">
        <v>615</v>
      </c>
      <c r="K719" s="0" t="s">
        <v>3025</v>
      </c>
      <c r="L719" s="0" t="s">
        <v>32</v>
      </c>
      <c r="M719" s="0" t="s">
        <v>33</v>
      </c>
      <c r="N719" s="0" t="s">
        <v>337</v>
      </c>
      <c r="O719" s="0" t="s">
        <v>35</v>
      </c>
      <c r="P719" s="0" t="s">
        <v>527</v>
      </c>
      <c r="Q719" s="0" t="s">
        <v>3026</v>
      </c>
      <c r="R719" s="0" t="s">
        <v>2912</v>
      </c>
      <c r="S719" s="0" t="s">
        <v>337</v>
      </c>
      <c r="T719" s="0">
        <f>HYPERLINK("https://storage.sslt.ae/ItemVariation/08DCF9B4-B99E-4D4F-89C6-53D0DC938DD6/E7328EE0-4026-4275-98DD-5A4268B97136.jpg","Variant Image")</f>
      </c>
      <c r="U719" s="0">
        <f>HYPERLINK("https://ec-qa-storage.kldlms.com/Item/08DCF9B4-B99E-4D4F-89C6-53D0DC938DD6/F4F55934-A4BA-4ECC-8282-CBF85A51E053.jpg","Thumbnail Image")</f>
      </c>
      <c r="V719" s="0">
        <f>HYPERLINK("https://ec-qa-storage.kldlms.com/ItemGallery/08DCF9B4-B99E-4D4F-89C6-53D0DC938DD6/A94BE414-2871-4C1F-809A-1AB70144E623.jpg","Gallery Image ")</f>
      </c>
      <c r="W719" s="0" t="s">
        <v>22</v>
      </c>
      <c r="X719" s="0" t="s">
        <v>3027</v>
      </c>
    </row>
    <row r="720">
      <c r="A720" s="0" t="s">
        <v>2910</v>
      </c>
      <c r="B720" s="0" t="s">
        <v>2910</v>
      </c>
      <c r="C720" s="0" t="s">
        <v>2914</v>
      </c>
      <c r="D720" s="0" t="s">
        <v>27</v>
      </c>
      <c r="E720" s="0" t="s">
        <v>614</v>
      </c>
      <c r="F720" s="0" t="s">
        <v>557</v>
      </c>
      <c r="G720" s="0" t="s">
        <v>2910</v>
      </c>
      <c r="H720" s="0" t="s">
        <v>2910</v>
      </c>
      <c r="I720" s="0" t="s">
        <v>615</v>
      </c>
      <c r="J720" s="0" t="s">
        <v>615</v>
      </c>
      <c r="K720" s="0" t="s">
        <v>3028</v>
      </c>
      <c r="L720" s="0" t="s">
        <v>32</v>
      </c>
      <c r="M720" s="0" t="s">
        <v>33</v>
      </c>
      <c r="N720" s="0" t="s">
        <v>337</v>
      </c>
      <c r="O720" s="0" t="s">
        <v>35</v>
      </c>
      <c r="P720" s="0" t="s">
        <v>1323</v>
      </c>
      <c r="Q720" s="0" t="s">
        <v>3029</v>
      </c>
      <c r="R720" s="0" t="s">
        <v>2914</v>
      </c>
      <c r="S720" s="0" t="s">
        <v>337</v>
      </c>
      <c r="T720" s="0">
        <f>HYPERLINK("https://storage.sslt.ae/ItemVariation/08DCF9B4-B9AA-4AA4-8D47-C0F866B27183/61125E10-ACD6-4031-B87F-0DB2F76DD57F.jpg","Variant Image")</f>
      </c>
      <c r="U720" s="0">
        <f>HYPERLINK("https://ec-qa-storage.kldlms.com/Item/08DCF9B4-B9AA-4AA4-8D47-C0F866B27183/E32F3F2A-9B21-449B-AF84-65146D2519C0.jpg","Thumbnail Image")</f>
      </c>
      <c r="V720" s="0">
        <f>HYPERLINK("https://ec-qa-storage.kldlms.com/ItemGallery/08DCF9B4-B9AA-4AA4-8D47-C0F866B27183/5801FEB9-EDD2-4564-AEEB-D0A0880483FA.jpg","Gallery Image ")</f>
      </c>
      <c r="W720" s="0" t="s">
        <v>22</v>
      </c>
      <c r="X720" s="0" t="s">
        <v>3030</v>
      </c>
    </row>
    <row r="721">
      <c r="A721" s="0" t="s">
        <v>2915</v>
      </c>
      <c r="B721" s="0" t="s">
        <v>2915</v>
      </c>
      <c r="C721" s="0" t="s">
        <v>2917</v>
      </c>
      <c r="D721" s="0" t="s">
        <v>27</v>
      </c>
      <c r="E721" s="0" t="s">
        <v>614</v>
      </c>
      <c r="F721" s="0" t="s">
        <v>557</v>
      </c>
      <c r="G721" s="0" t="s">
        <v>2915</v>
      </c>
      <c r="H721" s="0" t="s">
        <v>2915</v>
      </c>
      <c r="I721" s="0" t="s">
        <v>615</v>
      </c>
      <c r="J721" s="0" t="s">
        <v>615</v>
      </c>
      <c r="K721" s="0" t="s">
        <v>3031</v>
      </c>
      <c r="L721" s="0" t="s">
        <v>32</v>
      </c>
      <c r="M721" s="0" t="s">
        <v>33</v>
      </c>
      <c r="N721" s="0" t="s">
        <v>254</v>
      </c>
      <c r="O721" s="0" t="s">
        <v>35</v>
      </c>
      <c r="P721" s="0" t="s">
        <v>527</v>
      </c>
      <c r="Q721" s="0" t="s">
        <v>3032</v>
      </c>
      <c r="R721" s="0" t="s">
        <v>2917</v>
      </c>
      <c r="S721" s="0" t="s">
        <v>254</v>
      </c>
      <c r="T721" s="0">
        <f>HYPERLINK("https://storage.sslt.ae/ItemVariation/08DCF9B4-B9B4-4A34-83FD-3FA74309D6B6/0502F643-EECE-4C94-84EF-428BAD24D0F2.jpg","Variant Image")</f>
      </c>
      <c r="U721" s="0">
        <f>HYPERLINK("https://ec-qa-storage.kldlms.com/Item/08DCF9B4-B9B4-4A34-83FD-3FA74309D6B6/FEC5A796-F1F1-485A-83A9-5F3EFACC1EDD.jpg","Thumbnail Image")</f>
      </c>
      <c r="V721" s="0">
        <f>HYPERLINK("https://ec-qa-storage.kldlms.com/ItemGallery/08DCF9B4-B9B4-4A34-83FD-3FA74309D6B6/2112366D-6432-4207-AD73-FF1A8DD5C13A.jpg","Gallery Image ")</f>
      </c>
      <c r="W721" s="0" t="s">
        <v>22</v>
      </c>
      <c r="X721" s="0" t="s">
        <v>3033</v>
      </c>
    </row>
    <row r="722">
      <c r="A722" s="0" t="s">
        <v>2918</v>
      </c>
      <c r="B722" s="0" t="s">
        <v>2918</v>
      </c>
      <c r="C722" s="0" t="s">
        <v>2920</v>
      </c>
      <c r="D722" s="0" t="s">
        <v>27</v>
      </c>
      <c r="E722" s="0" t="s">
        <v>614</v>
      </c>
      <c r="F722" s="0" t="s">
        <v>557</v>
      </c>
      <c r="G722" s="0" t="s">
        <v>2918</v>
      </c>
      <c r="H722" s="0" t="s">
        <v>2918</v>
      </c>
      <c r="I722" s="0" t="s">
        <v>615</v>
      </c>
      <c r="J722" s="0" t="s">
        <v>615</v>
      </c>
      <c r="K722" s="0" t="s">
        <v>3034</v>
      </c>
      <c r="L722" s="0" t="s">
        <v>32</v>
      </c>
      <c r="M722" s="0" t="s">
        <v>33</v>
      </c>
      <c r="N722" s="0" t="s">
        <v>83</v>
      </c>
      <c r="O722" s="0" t="s">
        <v>35</v>
      </c>
      <c r="P722" s="0" t="s">
        <v>590</v>
      </c>
      <c r="Q722" s="0" t="s">
        <v>3035</v>
      </c>
      <c r="R722" s="0" t="s">
        <v>2920</v>
      </c>
      <c r="S722" s="0" t="s">
        <v>83</v>
      </c>
      <c r="T722" s="0">
        <f>HYPERLINK("https://storage.sslt.ae/ItemVariation/08DCF9B4-B9BF-4821-874E-6F531B7EDD3C/D3D56C63-A114-4453-AB1B-B6841DB9C06A.jpg","Variant Image")</f>
      </c>
      <c r="U722" s="0">
        <f>HYPERLINK("https://ec-qa-storage.kldlms.com/Item/08DCF9B4-B9BF-4821-874E-6F531B7EDD3C/B2455204-E924-4DBB-AF43-FE4F949E82A3.jpg","Thumbnail Image")</f>
      </c>
      <c r="V722" s="0">
        <f>HYPERLINK("https://ec-qa-storage.kldlms.com/ItemGallery/08DCF9B4-B9BF-4821-874E-6F531B7EDD3C/07DCEAB9-557D-4C63-A683-79A60162E414.jpg","Gallery Image ")</f>
      </c>
      <c r="W722" s="0" t="s">
        <v>22</v>
      </c>
      <c r="X722" s="0" t="s">
        <v>3036</v>
      </c>
    </row>
    <row r="723">
      <c r="A723" s="0" t="s">
        <v>2921</v>
      </c>
      <c r="B723" s="0" t="s">
        <v>2921</v>
      </c>
      <c r="C723" s="0" t="s">
        <v>2923</v>
      </c>
      <c r="D723" s="0" t="s">
        <v>27</v>
      </c>
      <c r="E723" s="0" t="s">
        <v>614</v>
      </c>
      <c r="F723" s="0" t="s">
        <v>557</v>
      </c>
      <c r="G723" s="0" t="s">
        <v>2921</v>
      </c>
      <c r="H723" s="0" t="s">
        <v>2921</v>
      </c>
      <c r="I723" s="0" t="s">
        <v>615</v>
      </c>
      <c r="J723" s="0" t="s">
        <v>615</v>
      </c>
      <c r="K723" s="0" t="s">
        <v>3037</v>
      </c>
      <c r="L723" s="0" t="s">
        <v>32</v>
      </c>
      <c r="M723" s="0" t="s">
        <v>33</v>
      </c>
      <c r="N723" s="0" t="s">
        <v>245</v>
      </c>
      <c r="O723" s="0" t="s">
        <v>35</v>
      </c>
      <c r="P723" s="0" t="s">
        <v>590</v>
      </c>
      <c r="Q723" s="0" t="s">
        <v>3038</v>
      </c>
      <c r="R723" s="0" t="s">
        <v>2923</v>
      </c>
      <c r="S723" s="0" t="s">
        <v>245</v>
      </c>
      <c r="T723" s="0">
        <f>HYPERLINK("https://storage.sslt.ae/ItemVariation/08DCF9B4-B9C8-4F23-8AB3-84A407B0F26D/6CE758BF-BD14-4B28-9D7F-328595E33828.jpg","Variant Image")</f>
      </c>
      <c r="U723" s="0">
        <f>HYPERLINK("https://ec-qa-storage.kldlms.com/Item/08DCF9B4-B9C8-4F23-8AB3-84A407B0F26D/02BA84AC-D4DA-439D-8EE2-E62C332002B7.jpg","Thumbnail Image")</f>
      </c>
      <c r="V723" s="0">
        <f>HYPERLINK("https://ec-qa-storage.kldlms.com/ItemGallery/08DCF9B4-B9C8-4F23-8AB3-84A407B0F26D/A2B505F2-E916-44F9-860B-968E4B592A57.jpg","Gallery Image ")</f>
      </c>
      <c r="W723" s="0" t="s">
        <v>22</v>
      </c>
      <c r="X723" s="0" t="s">
        <v>3039</v>
      </c>
    </row>
    <row r="724">
      <c r="A724" s="0" t="s">
        <v>2924</v>
      </c>
      <c r="B724" s="0" t="s">
        <v>2924</v>
      </c>
      <c r="C724" s="0" t="s">
        <v>2926</v>
      </c>
      <c r="D724" s="0" t="s">
        <v>27</v>
      </c>
      <c r="E724" s="0" t="s">
        <v>614</v>
      </c>
      <c r="F724" s="0" t="s">
        <v>557</v>
      </c>
      <c r="G724" s="0" t="s">
        <v>2924</v>
      </c>
      <c r="H724" s="0" t="s">
        <v>2924</v>
      </c>
      <c r="I724" s="0" t="s">
        <v>615</v>
      </c>
      <c r="J724" s="0" t="s">
        <v>615</v>
      </c>
      <c r="K724" s="0" t="s">
        <v>3040</v>
      </c>
      <c r="L724" s="0" t="s">
        <v>32</v>
      </c>
      <c r="M724" s="0" t="s">
        <v>33</v>
      </c>
      <c r="N724" s="0" t="s">
        <v>205</v>
      </c>
      <c r="O724" s="0" t="s">
        <v>35</v>
      </c>
      <c r="P724" s="0" t="s">
        <v>590</v>
      </c>
      <c r="Q724" s="0" t="s">
        <v>3041</v>
      </c>
      <c r="R724" s="0" t="s">
        <v>2926</v>
      </c>
      <c r="S724" s="0" t="s">
        <v>205</v>
      </c>
      <c r="T724" s="0">
        <f>HYPERLINK("https://storage.sslt.ae/ItemVariation/08DCF9B4-B9D2-41B4-8C45-96421E000B75/534505C5-7F75-4D50-9BB6-9BD15A4A0AC9.jpg","Variant Image")</f>
      </c>
      <c r="U724" s="0">
        <f>HYPERLINK("https://ec-qa-storage.kldlms.com/Item/08DCF9B4-B9D2-41B4-8C45-96421E000B75/F09F7E43-40B5-4B72-AC07-762A560BCD5C.jpg","Thumbnail Image")</f>
      </c>
      <c r="V724" s="0">
        <f>HYPERLINK("https://ec-qa-storage.kldlms.com/ItemGallery/08DCF9B4-B9D2-41B4-8C45-96421E000B75/AED2F1D0-3DB9-496C-A29C-909F5854C27C.jpg","Gallery Image ")</f>
      </c>
      <c r="W724" s="0" t="s">
        <v>22</v>
      </c>
      <c r="X724" s="0" t="s">
        <v>3042</v>
      </c>
    </row>
    <row r="725">
      <c r="A725" s="0" t="s">
        <v>2927</v>
      </c>
      <c r="B725" s="0" t="s">
        <v>2927</v>
      </c>
      <c r="C725" s="0" t="s">
        <v>2929</v>
      </c>
      <c r="D725" s="0" t="s">
        <v>27</v>
      </c>
      <c r="E725" s="0" t="s">
        <v>614</v>
      </c>
      <c r="F725" s="0" t="s">
        <v>557</v>
      </c>
      <c r="G725" s="0" t="s">
        <v>2927</v>
      </c>
      <c r="H725" s="0" t="s">
        <v>2927</v>
      </c>
      <c r="I725" s="0" t="s">
        <v>615</v>
      </c>
      <c r="J725" s="0" t="s">
        <v>615</v>
      </c>
      <c r="K725" s="0" t="s">
        <v>3043</v>
      </c>
      <c r="L725" s="0" t="s">
        <v>32</v>
      </c>
      <c r="M725" s="0" t="s">
        <v>33</v>
      </c>
      <c r="N725" s="0" t="s">
        <v>349</v>
      </c>
      <c r="O725" s="0" t="s">
        <v>35</v>
      </c>
      <c r="P725" s="0" t="s">
        <v>590</v>
      </c>
      <c r="Q725" s="0" t="s">
        <v>3044</v>
      </c>
      <c r="R725" s="0" t="s">
        <v>2929</v>
      </c>
      <c r="S725" s="0" t="s">
        <v>349</v>
      </c>
      <c r="T725" s="0">
        <f>HYPERLINK("https://storage.sslt.ae/ItemVariation/08DCF9B4-B9DC-416A-8201-34B0FCEE3A6F/08D650B5-8D46-4A8D-AEE2-E24C9E4593C3.jpg","Variant Image")</f>
      </c>
      <c r="U725" s="0">
        <f>HYPERLINK("https://ec-qa-storage.kldlms.com/Item/08DCF9B4-B9DC-416A-8201-34B0FCEE3A6F/5EBE7AFE-50D2-49F9-89C8-05F90453549E.jpg","Thumbnail Image")</f>
      </c>
      <c r="V725" s="0">
        <f>HYPERLINK("https://ec-qa-storage.kldlms.com/ItemGallery/08DCF9B4-B9DC-416A-8201-34B0FCEE3A6F/576C64EB-840E-451E-9D54-9EE1B8B79FAB.jpg","Gallery Image ")</f>
      </c>
      <c r="W725" s="0" t="s">
        <v>22</v>
      </c>
      <c r="X725" s="0" t="s">
        <v>3045</v>
      </c>
    </row>
    <row r="726">
      <c r="A726" s="0" t="s">
        <v>2930</v>
      </c>
      <c r="B726" s="0" t="s">
        <v>2930</v>
      </c>
      <c r="C726" s="0" t="s">
        <v>2932</v>
      </c>
      <c r="D726" s="0" t="s">
        <v>27</v>
      </c>
      <c r="E726" s="0" t="s">
        <v>614</v>
      </c>
      <c r="F726" s="0" t="s">
        <v>557</v>
      </c>
      <c r="G726" s="0" t="s">
        <v>2930</v>
      </c>
      <c r="H726" s="0" t="s">
        <v>2930</v>
      </c>
      <c r="I726" s="0" t="s">
        <v>615</v>
      </c>
      <c r="J726" s="0" t="s">
        <v>615</v>
      </c>
      <c r="K726" s="0" t="s">
        <v>3046</v>
      </c>
      <c r="L726" s="0" t="s">
        <v>32</v>
      </c>
      <c r="M726" s="0" t="s">
        <v>33</v>
      </c>
      <c r="N726" s="0" t="s">
        <v>3047</v>
      </c>
      <c r="O726" s="0" t="s">
        <v>35</v>
      </c>
      <c r="P726" s="0" t="s">
        <v>527</v>
      </c>
      <c r="Q726" s="0" t="s">
        <v>3048</v>
      </c>
      <c r="R726" s="0" t="s">
        <v>2932</v>
      </c>
      <c r="S726" s="0" t="s">
        <v>3047</v>
      </c>
      <c r="T726" s="0">
        <f>HYPERLINK("https://storage.sslt.ae/ItemVariation/08DCF9B4-B9E5-4A52-8A2D-B14CEE6B5E9E/8D0B57A1-1032-4D8E-A24B-A5C537D5E443.jpg","Variant Image")</f>
      </c>
      <c r="U726" s="0">
        <f>HYPERLINK("https://ec-qa-storage.kldlms.com/Item/08DCF9B4-B9E5-4A52-8A2D-B14CEE6B5E9E/55DE1602-22A2-4FF4-B2AB-CF59296C8E0B.jpg","Thumbnail Image")</f>
      </c>
      <c r="V726" s="0">
        <f>HYPERLINK("https://ec-qa-storage.kldlms.com/ItemGallery/08DCF9B4-B9E5-4A52-8A2D-B14CEE6B5E9E/C416174E-A9DC-4CEA-9CF7-6E3166F1EDB5.jpg","Gallery Image ")</f>
      </c>
      <c r="W726" s="0" t="s">
        <v>22</v>
      </c>
      <c r="X726" s="0" t="s">
        <v>3049</v>
      </c>
    </row>
    <row r="727">
      <c r="A727" s="0" t="s">
        <v>2930</v>
      </c>
      <c r="B727" s="0" t="s">
        <v>2930</v>
      </c>
      <c r="C727" s="0" t="s">
        <v>2934</v>
      </c>
      <c r="D727" s="0" t="s">
        <v>27</v>
      </c>
      <c r="E727" s="0" t="s">
        <v>614</v>
      </c>
      <c r="F727" s="0" t="s">
        <v>557</v>
      </c>
      <c r="G727" s="0" t="s">
        <v>2930</v>
      </c>
      <c r="H727" s="0" t="s">
        <v>2930</v>
      </c>
      <c r="I727" s="0" t="s">
        <v>615</v>
      </c>
      <c r="J727" s="0" t="s">
        <v>615</v>
      </c>
      <c r="K727" s="0" t="s">
        <v>3050</v>
      </c>
      <c r="L727" s="0" t="s">
        <v>32</v>
      </c>
      <c r="M727" s="0" t="s">
        <v>33</v>
      </c>
      <c r="N727" s="0" t="s">
        <v>223</v>
      </c>
      <c r="O727" s="0" t="s">
        <v>35</v>
      </c>
      <c r="P727" s="0" t="s">
        <v>590</v>
      </c>
      <c r="Q727" s="0" t="s">
        <v>3051</v>
      </c>
      <c r="R727" s="0" t="s">
        <v>2934</v>
      </c>
      <c r="S727" s="0" t="s">
        <v>223</v>
      </c>
      <c r="T727" s="0">
        <f>HYPERLINK("https://storage.sslt.ae/ItemVariation/08DCF9B4-B9EF-4236-8757-87FAE83C17C4/006AC5F0-C249-46FA-B4A6-EC10B1953AA2.jpg","Variant Image")</f>
      </c>
      <c r="U727" s="0">
        <f>HYPERLINK("https://ec-qa-storage.kldlms.com/Item/08DCF9B4-B9EF-4236-8757-87FAE83C17C4/EEF1422C-1415-44EC-A425-97CC34C04AF0.jpg","Thumbnail Image")</f>
      </c>
      <c r="V727" s="0">
        <f>HYPERLINK("https://ec-qa-storage.kldlms.com/ItemGallery/08DCF9B4-B9EF-4236-8757-87FAE83C17C4/661F7073-00F6-47BA-8A6E-2A4AD770BF1E.jpg","Gallery Image ")</f>
      </c>
      <c r="W727" s="0" t="s">
        <v>22</v>
      </c>
      <c r="X727" s="0" t="s">
        <v>3052</v>
      </c>
    </row>
    <row r="728">
      <c r="A728" s="0" t="s">
        <v>2935</v>
      </c>
      <c r="B728" s="0" t="s">
        <v>2935</v>
      </c>
      <c r="C728" s="0" t="s">
        <v>2937</v>
      </c>
      <c r="D728" s="0" t="s">
        <v>27</v>
      </c>
      <c r="E728" s="0" t="s">
        <v>614</v>
      </c>
      <c r="F728" s="0" t="s">
        <v>557</v>
      </c>
      <c r="G728" s="0" t="s">
        <v>2935</v>
      </c>
      <c r="H728" s="0" t="s">
        <v>2935</v>
      </c>
      <c r="I728" s="0" t="s">
        <v>615</v>
      </c>
      <c r="J728" s="0" t="s">
        <v>615</v>
      </c>
      <c r="K728" s="0" t="s">
        <v>3053</v>
      </c>
      <c r="L728" s="0" t="s">
        <v>32</v>
      </c>
      <c r="M728" s="0" t="s">
        <v>33</v>
      </c>
      <c r="N728" s="0" t="s">
        <v>1030</v>
      </c>
      <c r="O728" s="0" t="s">
        <v>35</v>
      </c>
      <c r="P728" s="0" t="s">
        <v>590</v>
      </c>
      <c r="Q728" s="0" t="s">
        <v>3054</v>
      </c>
      <c r="R728" s="0" t="s">
        <v>2937</v>
      </c>
      <c r="S728" s="0" t="s">
        <v>1030</v>
      </c>
      <c r="T728" s="0">
        <f>HYPERLINK("https://storage.sslt.ae/ItemVariation/08DCF9B4-B9F8-4898-8EF8-35C466D6093E/702DB50C-0EB0-4C5E-A99D-6FFA31DE1663.jpg","Variant Image")</f>
      </c>
      <c r="U728" s="0">
        <f>HYPERLINK("https://ec-qa-storage.kldlms.com/Item/08DCF9B4-B9F8-4898-8EF8-35C466D6093E/2E38A905-0950-43A3-91DB-20ED24A74066.jpg","Thumbnail Image")</f>
      </c>
      <c r="V728" s="0">
        <f>HYPERLINK("https://ec-qa-storage.kldlms.com/ItemGallery/08DCF9B4-B9F8-4898-8EF8-35C466D6093E/ED41E152-10D2-4CDA-BDB8-2776D649F837.jpg","Gallery Image ")</f>
      </c>
      <c r="W728" s="0" t="s">
        <v>22</v>
      </c>
      <c r="X728" s="0" t="s">
        <v>3055</v>
      </c>
    </row>
    <row r="729">
      <c r="A729" s="0" t="s">
        <v>2924</v>
      </c>
      <c r="B729" s="0" t="s">
        <v>2924</v>
      </c>
      <c r="C729" s="0" t="s">
        <v>2939</v>
      </c>
      <c r="D729" s="0" t="s">
        <v>27</v>
      </c>
      <c r="E729" s="0" t="s">
        <v>614</v>
      </c>
      <c r="F729" s="0" t="s">
        <v>557</v>
      </c>
      <c r="G729" s="0" t="s">
        <v>2924</v>
      </c>
      <c r="H729" s="0" t="s">
        <v>2924</v>
      </c>
      <c r="I729" s="0" t="s">
        <v>615</v>
      </c>
      <c r="J729" s="0" t="s">
        <v>615</v>
      </c>
      <c r="K729" s="0" t="s">
        <v>1232</v>
      </c>
      <c r="L729" s="0" t="s">
        <v>32</v>
      </c>
      <c r="M729" s="0" t="s">
        <v>33</v>
      </c>
      <c r="N729" s="0" t="s">
        <v>3056</v>
      </c>
      <c r="O729" s="0" t="s">
        <v>35</v>
      </c>
      <c r="P729" s="0" t="s">
        <v>590</v>
      </c>
      <c r="Q729" s="0" t="s">
        <v>3057</v>
      </c>
      <c r="R729" s="0" t="s">
        <v>2939</v>
      </c>
      <c r="S729" s="0" t="s">
        <v>3056</v>
      </c>
      <c r="T729" s="0">
        <f>HYPERLINK("https://storage.sslt.ae/ItemVariation/08DCF9B4-BA01-4EAC-8701-1D53DEBC4E4C/FB0126D6-7D7E-448C-9F20-DB2ECF0634A8.jpg","Variant Image")</f>
      </c>
      <c r="U729" s="0">
        <f>HYPERLINK("https://ec-qa-storage.kldlms.com/Item/08DCF9B4-BA01-4EAC-8701-1D53DEBC4E4C/1C8D1E3F-E831-4188-A442-6150296519AE.jpg","Thumbnail Image")</f>
      </c>
      <c r="V729" s="0">
        <f>HYPERLINK("https://ec-qa-storage.kldlms.com/ItemGallery/08DCF9B4-BA01-4EAC-8701-1D53DEBC4E4C/B93B26E7-85BE-43FC-B64C-AB2F7BC9AF4A.jpg","Gallery Image ")</f>
      </c>
      <c r="W729" s="0" t="s">
        <v>22</v>
      </c>
      <c r="X729" s="0" t="s">
        <v>3058</v>
      </c>
    </row>
    <row r="730">
      <c r="A730" s="0" t="s">
        <v>2940</v>
      </c>
      <c r="B730" s="0" t="s">
        <v>2940</v>
      </c>
      <c r="C730" s="0" t="s">
        <v>2942</v>
      </c>
      <c r="D730" s="0" t="s">
        <v>27</v>
      </c>
      <c r="E730" s="0" t="s">
        <v>614</v>
      </c>
      <c r="F730" s="0" t="s">
        <v>557</v>
      </c>
      <c r="G730" s="0" t="s">
        <v>2940</v>
      </c>
      <c r="H730" s="0" t="s">
        <v>2940</v>
      </c>
      <c r="I730" s="0" t="s">
        <v>615</v>
      </c>
      <c r="J730" s="0" t="s">
        <v>615</v>
      </c>
      <c r="K730" s="0" t="s">
        <v>3059</v>
      </c>
      <c r="L730" s="0" t="s">
        <v>32</v>
      </c>
      <c r="M730" s="0" t="s">
        <v>33</v>
      </c>
      <c r="N730" s="0" t="s">
        <v>787</v>
      </c>
      <c r="O730" s="0" t="s">
        <v>35</v>
      </c>
      <c r="P730" s="0" t="s">
        <v>527</v>
      </c>
      <c r="Q730" s="0" t="s">
        <v>3060</v>
      </c>
      <c r="R730" s="0" t="s">
        <v>2942</v>
      </c>
      <c r="S730" s="0" t="s">
        <v>787</v>
      </c>
      <c r="T730" s="0">
        <f>HYPERLINK("https://storage.sslt.ae/ItemVariation/08DCF9B4-BA0A-4331-8A63-31AB4E7D3302/F2BD175C-5767-4A34-8B50-BB3268411552.jpg","Variant Image")</f>
      </c>
      <c r="U730" s="0">
        <f>HYPERLINK("https://ec-qa-storage.kldlms.com/Item/08DCF9B4-BA0A-4331-8A63-31AB4E7D3302/5B90F7D1-F370-4360-B220-871D0B8D61DC.jpg","Thumbnail Image")</f>
      </c>
      <c r="V730" s="0">
        <f>HYPERLINK("https://ec-qa-storage.kldlms.com/ItemGallery/08DCF9B4-BA0A-4331-8A63-31AB4E7D3302/4236D587-D4FB-463C-AD2C-92FD44D7B3E0.jpg","Gallery Image ")</f>
      </c>
      <c r="W730" s="0" t="s">
        <v>22</v>
      </c>
      <c r="X730" s="0" t="s">
        <v>3061</v>
      </c>
    </row>
    <row r="731">
      <c r="A731" s="0" t="s">
        <v>1050</v>
      </c>
      <c r="B731" s="0" t="s">
        <v>1050</v>
      </c>
      <c r="C731" s="0" t="s">
        <v>1055</v>
      </c>
      <c r="D731" s="0" t="s">
        <v>27</v>
      </c>
      <c r="E731" s="0" t="s">
        <v>614</v>
      </c>
      <c r="F731" s="0" t="s">
        <v>557</v>
      </c>
      <c r="G731" s="0" t="s">
        <v>1050</v>
      </c>
      <c r="H731" s="0" t="s">
        <v>1050</v>
      </c>
      <c r="I731" s="0" t="s">
        <v>615</v>
      </c>
      <c r="J731" s="0" t="s">
        <v>615</v>
      </c>
      <c r="K731" s="0" t="s">
        <v>3062</v>
      </c>
      <c r="L731" s="0" t="s">
        <v>32</v>
      </c>
      <c r="M731" s="0" t="s">
        <v>33</v>
      </c>
      <c r="N731" s="0" t="s">
        <v>647</v>
      </c>
      <c r="O731" s="0" t="s">
        <v>35</v>
      </c>
      <c r="P731" s="0" t="s">
        <v>527</v>
      </c>
      <c r="Q731" s="0" t="s">
        <v>3063</v>
      </c>
      <c r="R731" s="0" t="s">
        <v>1055</v>
      </c>
      <c r="S731" s="0" t="s">
        <v>647</v>
      </c>
      <c r="T731" s="0">
        <f>HYPERLINK("https://storage.sslt.ae/ItemVariation/08DCF9B4-BA13-491C-80C6-2124BD766C9D/F144642B-112E-41DE-898C-DDD2EFFA1917.jpg","Variant Image")</f>
      </c>
      <c r="U731" s="0">
        <f>HYPERLINK("https://ec-qa-storage.kldlms.com/Item/08DCF9B4-BA13-491C-80C6-2124BD766C9D/F86AC9E1-8707-476B-88FC-725E4C0226D9.jpg","Thumbnail Image")</f>
      </c>
      <c r="V731" s="0">
        <f>HYPERLINK("https://ec-qa-storage.kldlms.com/ItemGallery/08DCF9B4-BA13-491C-80C6-2124BD766C9D/7DCFD0A2-3412-456B-A06E-AE5635B74C1B.jpg","Gallery Image ")</f>
      </c>
      <c r="W731" s="0" t="s">
        <v>22</v>
      </c>
      <c r="X731" s="0" t="s">
        <v>3064</v>
      </c>
    </row>
    <row r="732">
      <c r="A732" s="0" t="s">
        <v>2943</v>
      </c>
      <c r="B732" s="0" t="s">
        <v>2943</v>
      </c>
      <c r="C732" s="0" t="s">
        <v>2945</v>
      </c>
      <c r="D732" s="0" t="s">
        <v>27</v>
      </c>
      <c r="E732" s="0" t="s">
        <v>614</v>
      </c>
      <c r="F732" s="0" t="s">
        <v>557</v>
      </c>
      <c r="G732" s="0" t="s">
        <v>2943</v>
      </c>
      <c r="H732" s="0" t="s">
        <v>2943</v>
      </c>
      <c r="I732" s="0" t="s">
        <v>615</v>
      </c>
      <c r="J732" s="0" t="s">
        <v>615</v>
      </c>
      <c r="K732" s="0" t="s">
        <v>3065</v>
      </c>
      <c r="L732" s="0" t="s">
        <v>32</v>
      </c>
      <c r="M732" s="0" t="s">
        <v>33</v>
      </c>
      <c r="N732" s="0" t="s">
        <v>3066</v>
      </c>
      <c r="O732" s="0" t="s">
        <v>35</v>
      </c>
      <c r="P732" s="0" t="s">
        <v>590</v>
      </c>
      <c r="Q732" s="0" t="s">
        <v>3067</v>
      </c>
      <c r="R732" s="0" t="s">
        <v>2945</v>
      </c>
      <c r="S732" s="0" t="s">
        <v>3066</v>
      </c>
      <c r="T732" s="0">
        <f>HYPERLINK("https://storage.sslt.ae/ItemVariation/08DCF9B4-BA1D-4856-848E-FF91B8A41FFC/8203DE41-2AC3-4322-A9C9-F2E1B8468DF7.jpg","Variant Image")</f>
      </c>
      <c r="U732" s="0">
        <f>HYPERLINK("https://ec-qa-storage.kldlms.com/Item/08DCF9B4-BA1D-4856-848E-FF91B8A41FFC/656D0CAB-7316-489F-8832-9B10F9B57FD2.jpg","Thumbnail Image")</f>
      </c>
      <c r="V732" s="0">
        <f>HYPERLINK("https://ec-qa-storage.kldlms.com/ItemGallery/08DCF9B4-BA1D-4856-848E-FF91B8A41FFC/269D4CDA-A9D8-475E-A114-FA6F17ADB58F.jpg","Gallery Image ")</f>
      </c>
      <c r="W732" s="0" t="s">
        <v>22</v>
      </c>
      <c r="X732" s="0" t="s">
        <v>3068</v>
      </c>
    </row>
    <row r="733">
      <c r="A733" s="0" t="s">
        <v>2946</v>
      </c>
      <c r="B733" s="0" t="s">
        <v>2946</v>
      </c>
      <c r="C733" s="0" t="s">
        <v>2948</v>
      </c>
      <c r="D733" s="0" t="s">
        <v>27</v>
      </c>
      <c r="E733" s="0" t="s">
        <v>614</v>
      </c>
      <c r="F733" s="0" t="s">
        <v>557</v>
      </c>
      <c r="G733" s="0" t="s">
        <v>2946</v>
      </c>
      <c r="H733" s="0" t="s">
        <v>2946</v>
      </c>
      <c r="I733" s="0" t="s">
        <v>615</v>
      </c>
      <c r="J733" s="0" t="s">
        <v>615</v>
      </c>
      <c r="K733" s="0" t="s">
        <v>2292</v>
      </c>
      <c r="L733" s="0" t="s">
        <v>32</v>
      </c>
      <c r="M733" s="0" t="s">
        <v>33</v>
      </c>
      <c r="N733" s="0" t="s">
        <v>2399</v>
      </c>
      <c r="O733" s="0" t="s">
        <v>35</v>
      </c>
      <c r="P733" s="0" t="s">
        <v>527</v>
      </c>
      <c r="Q733" s="0" t="s">
        <v>2293</v>
      </c>
      <c r="R733" s="0" t="s">
        <v>2948</v>
      </c>
      <c r="S733" s="0" t="s">
        <v>2399</v>
      </c>
      <c r="T733" s="0">
        <f>HYPERLINK("https://storage.sslt.ae/ItemVariation/08DCF9B4-BA27-4B98-81B7-D7A688615402/4909527D-4180-4DD5-A922-91853C2E245D.jpg","Variant Image")</f>
      </c>
      <c r="U733" s="0">
        <f>HYPERLINK("https://ec-qa-storage.kldlms.com/Item/08DCF9B4-BA27-4B98-81B7-D7A688615402/EBA9B049-5D5F-4899-B9C5-77DE8B9B9AF9.jpg","Thumbnail Image")</f>
      </c>
      <c r="V733" s="0">
        <f>HYPERLINK("https://ec-qa-storage.kldlms.com/ItemGallery/08DCF9B4-BA27-4B98-81B7-D7A688615402/8B4DC3D2-17F6-4422-825E-A372867AA847.jpg","Gallery Image ")</f>
      </c>
      <c r="W733" s="0" t="s">
        <v>22</v>
      </c>
      <c r="X733" s="0" t="s">
        <v>3069</v>
      </c>
    </row>
    <row r="734">
      <c r="A734" s="0" t="s">
        <v>2949</v>
      </c>
      <c r="B734" s="0" t="s">
        <v>2949</v>
      </c>
      <c r="C734" s="0" t="s">
        <v>2951</v>
      </c>
      <c r="D734" s="0" t="s">
        <v>27</v>
      </c>
      <c r="E734" s="0" t="s">
        <v>614</v>
      </c>
      <c r="F734" s="0" t="s">
        <v>557</v>
      </c>
      <c r="G734" s="0" t="s">
        <v>2949</v>
      </c>
      <c r="H734" s="0" t="s">
        <v>2949</v>
      </c>
      <c r="I734" s="0" t="s">
        <v>615</v>
      </c>
      <c r="J734" s="0" t="s">
        <v>615</v>
      </c>
      <c r="K734" s="0" t="s">
        <v>3070</v>
      </c>
      <c r="L734" s="0" t="s">
        <v>32</v>
      </c>
      <c r="M734" s="0" t="s">
        <v>33</v>
      </c>
      <c r="N734" s="0" t="s">
        <v>2192</v>
      </c>
      <c r="O734" s="0" t="s">
        <v>35</v>
      </c>
      <c r="P734" s="0" t="s">
        <v>527</v>
      </c>
      <c r="Q734" s="0" t="s">
        <v>3071</v>
      </c>
      <c r="R734" s="0" t="s">
        <v>2951</v>
      </c>
      <c r="S734" s="0" t="s">
        <v>2192</v>
      </c>
      <c r="T734" s="0">
        <f>HYPERLINK("https://storage.sslt.ae/ItemVariation/08DCF9B4-BA31-4D1A-8BBD-243D87403729/83EFC80B-2A26-4CDF-9796-49509B0F1193.jpg","Variant Image")</f>
      </c>
      <c r="U734" s="0">
        <f>HYPERLINK("https://ec-qa-storage.kldlms.com/Item/08DCF9B4-BA31-4D1A-8BBD-243D87403729/C3B84EEC-7574-48D0-9165-4121F6477D2B.jpg","Thumbnail Image")</f>
      </c>
      <c r="V734" s="0">
        <f>HYPERLINK("https://ec-qa-storage.kldlms.com/ItemGallery/08DCF9B4-BA31-4D1A-8BBD-243D87403729/8DEE0817-3C9C-4B9C-98FF-DDC6F950F856.jpg","Gallery Image ")</f>
      </c>
      <c r="W734" s="0" t="s">
        <v>22</v>
      </c>
      <c r="X734" s="0" t="s">
        <v>3072</v>
      </c>
    </row>
    <row r="735">
      <c r="A735" s="0" t="s">
        <v>2952</v>
      </c>
      <c r="B735" s="0" t="s">
        <v>2952</v>
      </c>
      <c r="C735" s="0" t="s">
        <v>1032</v>
      </c>
      <c r="D735" s="0" t="s">
        <v>27</v>
      </c>
      <c r="E735" s="0" t="s">
        <v>614</v>
      </c>
      <c r="F735" s="0" t="s">
        <v>557</v>
      </c>
      <c r="G735" s="0" t="s">
        <v>2952</v>
      </c>
      <c r="H735" s="0" t="s">
        <v>2952</v>
      </c>
      <c r="I735" s="0" t="s">
        <v>615</v>
      </c>
      <c r="J735" s="0" t="s">
        <v>615</v>
      </c>
      <c r="K735" s="0" t="s">
        <v>3073</v>
      </c>
      <c r="L735" s="0" t="s">
        <v>32</v>
      </c>
      <c r="M735" s="0" t="s">
        <v>33</v>
      </c>
      <c r="N735" s="0" t="s">
        <v>3074</v>
      </c>
      <c r="O735" s="0" t="s">
        <v>35</v>
      </c>
      <c r="P735" s="0" t="s">
        <v>590</v>
      </c>
      <c r="Q735" s="0" t="s">
        <v>3075</v>
      </c>
      <c r="R735" s="0" t="s">
        <v>1032</v>
      </c>
      <c r="S735" s="0" t="s">
        <v>3074</v>
      </c>
      <c r="T735" s="0">
        <f>HYPERLINK("https://storage.sslt.ae/ItemVariation/08DCF9B4-BA3B-4FBC-8683-CD45AA9174D1/91266773-5618-4015-9ADF-1A0301999ED4.jpg","Variant Image")</f>
      </c>
      <c r="U735" s="0">
        <f>HYPERLINK("https://ec-qa-storage.kldlms.com/Item/08DCF9B4-BA3B-4FBC-8683-CD45AA9174D1/78D5D8E6-4C8D-48FA-8048-DBA95BC44539.jpg","Thumbnail Image")</f>
      </c>
      <c r="V735" s="0">
        <f>HYPERLINK("https://ec-qa-storage.kldlms.com/ItemGallery/08DCF9B4-BA3B-4FBC-8683-CD45AA9174D1/2F4ED81D-2078-4522-B08A-E9E8E8B87151.jpg","Gallery Image ")</f>
      </c>
      <c r="W735" s="0" t="s">
        <v>22</v>
      </c>
      <c r="X735" s="0" t="s">
        <v>3076</v>
      </c>
    </row>
    <row r="736">
      <c r="A736" s="0" t="s">
        <v>1026</v>
      </c>
      <c r="B736" s="0" t="s">
        <v>1026</v>
      </c>
      <c r="C736" s="0" t="s">
        <v>1033</v>
      </c>
      <c r="D736" s="0" t="s">
        <v>27</v>
      </c>
      <c r="E736" s="0" t="s">
        <v>614</v>
      </c>
      <c r="F736" s="0" t="s">
        <v>557</v>
      </c>
      <c r="G736" s="0" t="s">
        <v>1026</v>
      </c>
      <c r="H736" s="0" t="s">
        <v>1026</v>
      </c>
      <c r="I736" s="0" t="s">
        <v>615</v>
      </c>
      <c r="J736" s="0" t="s">
        <v>615</v>
      </c>
      <c r="K736" s="0" t="s">
        <v>3077</v>
      </c>
      <c r="L736" s="0" t="s">
        <v>32</v>
      </c>
      <c r="M736" s="0" t="s">
        <v>33</v>
      </c>
      <c r="N736" s="0" t="s">
        <v>3078</v>
      </c>
      <c r="O736" s="0" t="s">
        <v>35</v>
      </c>
      <c r="P736" s="0" t="s">
        <v>527</v>
      </c>
      <c r="Q736" s="0" t="s">
        <v>3079</v>
      </c>
      <c r="R736" s="0" t="s">
        <v>1033</v>
      </c>
      <c r="S736" s="0" t="s">
        <v>3078</v>
      </c>
      <c r="T736" s="0">
        <f>HYPERLINK("https://storage.sslt.ae/ItemVariation/08DCF9B4-BA46-40C2-83E4-FD6247B69782/03040BA9-5522-4841-AD6F-D995B82CC696.jpg","Variant Image")</f>
      </c>
      <c r="U736" s="0">
        <f>HYPERLINK("https://ec-qa-storage.kldlms.com/Item/08DCF9B4-BA46-40C2-83E4-FD6247B69782/3FACABFA-2EB7-418B-8C7C-BECD7BA669AF.jpg","Thumbnail Image")</f>
      </c>
      <c r="V736" s="0">
        <f>HYPERLINK("https://ec-qa-storage.kldlms.com/ItemGallery/08DCF9B4-BA46-40C2-83E4-FD6247B69782/63A5A44D-471A-40FF-A01D-3EDAF677BECF.jpg","Gallery Image ")</f>
      </c>
      <c r="W736" s="0" t="s">
        <v>22</v>
      </c>
      <c r="X736" s="0" t="s">
        <v>3080</v>
      </c>
    </row>
    <row r="737">
      <c r="A737" s="0" t="s">
        <v>2954</v>
      </c>
      <c r="B737" s="0" t="s">
        <v>2954</v>
      </c>
      <c r="C737" s="0" t="s">
        <v>1021</v>
      </c>
      <c r="D737" s="0" t="s">
        <v>27</v>
      </c>
      <c r="E737" s="0" t="s">
        <v>614</v>
      </c>
      <c r="F737" s="0" t="s">
        <v>557</v>
      </c>
      <c r="G737" s="0" t="s">
        <v>2954</v>
      </c>
      <c r="H737" s="0" t="s">
        <v>2954</v>
      </c>
      <c r="I737" s="0" t="s">
        <v>615</v>
      </c>
      <c r="J737" s="0" t="s">
        <v>615</v>
      </c>
      <c r="K737" s="0" t="s">
        <v>3081</v>
      </c>
      <c r="L737" s="0" t="s">
        <v>32</v>
      </c>
      <c r="M737" s="0" t="s">
        <v>33</v>
      </c>
      <c r="N737" s="0" t="s">
        <v>2815</v>
      </c>
      <c r="O737" s="0" t="s">
        <v>35</v>
      </c>
      <c r="P737" s="0" t="s">
        <v>590</v>
      </c>
      <c r="Q737" s="0" t="s">
        <v>3082</v>
      </c>
      <c r="R737" s="0" t="s">
        <v>1021</v>
      </c>
      <c r="S737" s="0" t="s">
        <v>2815</v>
      </c>
      <c r="T737" s="0">
        <f>HYPERLINK("https://storage.sslt.ae/ItemVariation/08DCF9B4-BA50-43A1-8772-6B36B9EDA4FD/D805B4DE-10D5-4DBD-9512-B0C0894B0D10.jpg","Variant Image")</f>
      </c>
      <c r="U737" s="0">
        <f>HYPERLINK("https://ec-qa-storage.kldlms.com/Item/08DCF9B4-BA50-43A1-8772-6B36B9EDA4FD/06BA02D3-54E8-4BE7-80B8-D394CD3EE931.jpg","Thumbnail Image")</f>
      </c>
      <c r="V737" s="0">
        <f>HYPERLINK("https://ec-qa-storage.kldlms.com/ItemGallery/08DCF9B4-BA50-43A1-8772-6B36B9EDA4FD/3B6AD261-5CAE-4452-95CA-60BEA63B4BF2.jpg","Gallery Image ")</f>
      </c>
      <c r="W737" s="0" t="s">
        <v>22</v>
      </c>
      <c r="X737" s="0" t="s">
        <v>3083</v>
      </c>
    </row>
    <row r="738">
      <c r="A738" s="0" t="s">
        <v>1014</v>
      </c>
      <c r="B738" s="0" t="s">
        <v>1014</v>
      </c>
      <c r="C738" s="0" t="s">
        <v>1023</v>
      </c>
      <c r="D738" s="0" t="s">
        <v>27</v>
      </c>
      <c r="E738" s="0" t="s">
        <v>614</v>
      </c>
      <c r="F738" s="0" t="s">
        <v>557</v>
      </c>
      <c r="G738" s="0" t="s">
        <v>1014</v>
      </c>
      <c r="H738" s="0" t="s">
        <v>1014</v>
      </c>
      <c r="I738" s="0" t="s">
        <v>615</v>
      </c>
      <c r="J738" s="0" t="s">
        <v>615</v>
      </c>
      <c r="K738" s="0" t="s">
        <v>3084</v>
      </c>
      <c r="L738" s="0" t="s">
        <v>32</v>
      </c>
      <c r="M738" s="0" t="s">
        <v>33</v>
      </c>
      <c r="N738" s="0" t="s">
        <v>219</v>
      </c>
      <c r="O738" s="0" t="s">
        <v>35</v>
      </c>
      <c r="P738" s="0" t="s">
        <v>527</v>
      </c>
      <c r="Q738" s="0" t="s">
        <v>3085</v>
      </c>
      <c r="R738" s="0" t="s">
        <v>1023</v>
      </c>
      <c r="S738" s="0" t="s">
        <v>219</v>
      </c>
      <c r="T738" s="0">
        <f>HYPERLINK("https://storage.sslt.ae/ItemVariation/08DCF9B4-BA59-4D4A-8DFE-D2850048E42C/2C8768E5-192B-48BB-850E-B3BB2D72B9A7.jpg","Variant Image")</f>
      </c>
      <c r="U738" s="0">
        <f>HYPERLINK("https://ec-qa-storage.kldlms.com/Item/08DCF9B4-BA59-4D4A-8DFE-D2850048E42C/DEED8396-0F27-4715-B75B-8EDCB785B04E.jpg","Thumbnail Image")</f>
      </c>
      <c r="V738" s="0">
        <f>HYPERLINK("https://ec-qa-storage.kldlms.com/ItemGallery/08DCF9B4-BA59-4D4A-8DFE-D2850048E42C/081FC808-5518-46CD-9CE1-26BB249158ED.jpg","Gallery Image ")</f>
      </c>
      <c r="W738" s="0" t="s">
        <v>22</v>
      </c>
      <c r="X738" s="0" t="s">
        <v>3086</v>
      </c>
    </row>
    <row r="739">
      <c r="A739" s="0" t="s">
        <v>2956</v>
      </c>
      <c r="B739" s="0" t="s">
        <v>2956</v>
      </c>
      <c r="C739" s="0" t="s">
        <v>2958</v>
      </c>
      <c r="D739" s="0" t="s">
        <v>27</v>
      </c>
      <c r="E739" s="0" t="s">
        <v>614</v>
      </c>
      <c r="F739" s="0" t="s">
        <v>557</v>
      </c>
      <c r="G739" s="0" t="s">
        <v>2956</v>
      </c>
      <c r="H739" s="0" t="s">
        <v>2956</v>
      </c>
      <c r="I739" s="0" t="s">
        <v>615</v>
      </c>
      <c r="J739" s="0" t="s">
        <v>615</v>
      </c>
      <c r="K739" s="0" t="s">
        <v>3087</v>
      </c>
      <c r="L739" s="0" t="s">
        <v>32</v>
      </c>
      <c r="M739" s="0" t="s">
        <v>33</v>
      </c>
      <c r="N739" s="0" t="s">
        <v>2364</v>
      </c>
      <c r="O739" s="0" t="s">
        <v>35</v>
      </c>
      <c r="P739" s="0" t="s">
        <v>527</v>
      </c>
      <c r="Q739" s="0" t="s">
        <v>3088</v>
      </c>
      <c r="R739" s="0" t="s">
        <v>2958</v>
      </c>
      <c r="S739" s="0" t="s">
        <v>2364</v>
      </c>
      <c r="T739" s="0">
        <f>HYPERLINK("https://storage.sslt.ae/ItemVariation/08DCF9B4-BA63-4A68-8ED7-147CC168BC6E/663B474E-EEC1-4CB9-AED4-3959D7C19312.jpg","Variant Image")</f>
      </c>
      <c r="U739" s="0">
        <f>HYPERLINK("https://ec-qa-storage.kldlms.com/Item/08DCF9B4-BA63-4A68-8ED7-147CC168BC6E/2EE65CB3-48F9-4BF9-93CF-26DC001651FC.jpg","Thumbnail Image")</f>
      </c>
      <c r="V739" s="0">
        <f>HYPERLINK("https://ec-qa-storage.kldlms.com/ItemGallery/08DCF9B4-BA63-4A68-8ED7-147CC168BC6E/90306E7E-B6BD-4ED9-B657-9391F5C05B40.jpg","Gallery Image ")</f>
      </c>
      <c r="W739" s="0" t="s">
        <v>22</v>
      </c>
      <c r="X739" s="0" t="s">
        <v>3089</v>
      </c>
    </row>
    <row r="740">
      <c r="A740" s="0" t="s">
        <v>2959</v>
      </c>
      <c r="B740" s="0" t="s">
        <v>2959</v>
      </c>
      <c r="C740" s="0" t="s">
        <v>2961</v>
      </c>
      <c r="D740" s="0" t="s">
        <v>27</v>
      </c>
      <c r="E740" s="0" t="s">
        <v>614</v>
      </c>
      <c r="F740" s="0" t="s">
        <v>557</v>
      </c>
      <c r="G740" s="0" t="s">
        <v>2959</v>
      </c>
      <c r="H740" s="0" t="s">
        <v>2959</v>
      </c>
      <c r="I740" s="0" t="s">
        <v>615</v>
      </c>
      <c r="J740" s="0" t="s">
        <v>615</v>
      </c>
      <c r="K740" s="0" t="s">
        <v>3090</v>
      </c>
      <c r="L740" s="0" t="s">
        <v>32</v>
      </c>
      <c r="M740" s="0" t="s">
        <v>33</v>
      </c>
      <c r="N740" s="0" t="s">
        <v>3091</v>
      </c>
      <c r="O740" s="0" t="s">
        <v>35</v>
      </c>
      <c r="P740" s="0" t="s">
        <v>527</v>
      </c>
      <c r="Q740" s="0" t="s">
        <v>3092</v>
      </c>
      <c r="R740" s="0" t="s">
        <v>2961</v>
      </c>
      <c r="S740" s="0" t="s">
        <v>3091</v>
      </c>
      <c r="T740" s="0">
        <f>HYPERLINK("https://storage.sslt.ae/ItemVariation/08DCF9B4-BA6E-49B4-8114-13A2281CEB60/A6F1303E-B035-4F43-88D4-7BA9E89DF49B.jpg","Variant Image")</f>
      </c>
      <c r="U740" s="0">
        <f>HYPERLINK("https://ec-qa-storage.kldlms.com/Item/08DCF9B4-BA6E-49B4-8114-13A2281CEB60/00FED9BF-B8B5-4FCE-A73C-747C74D60EE1.jpg","Thumbnail Image")</f>
      </c>
      <c r="V740" s="0">
        <f>HYPERLINK("https://ec-qa-storage.kldlms.com/ItemGallery/08DCF9B4-BA6E-49B4-8114-13A2281CEB60/A0FF8F68-D4BF-43CE-BDBD-D665B2D69BC7.jpg","Gallery Image ")</f>
      </c>
      <c r="W740" s="0" t="s">
        <v>22</v>
      </c>
      <c r="X740" s="0" t="s">
        <v>3093</v>
      </c>
    </row>
    <row r="741">
      <c r="A741" s="0" t="s">
        <v>2962</v>
      </c>
      <c r="B741" s="0" t="s">
        <v>2962</v>
      </c>
      <c r="C741" s="0" t="s">
        <v>2964</v>
      </c>
      <c r="D741" s="0" t="s">
        <v>27</v>
      </c>
      <c r="E741" s="0" t="s">
        <v>614</v>
      </c>
      <c r="F741" s="0" t="s">
        <v>557</v>
      </c>
      <c r="G741" s="0" t="s">
        <v>2962</v>
      </c>
      <c r="H741" s="0" t="s">
        <v>2962</v>
      </c>
      <c r="I741" s="0" t="s">
        <v>615</v>
      </c>
      <c r="J741" s="0" t="s">
        <v>615</v>
      </c>
      <c r="K741" s="0" t="s">
        <v>2381</v>
      </c>
      <c r="L741" s="0" t="s">
        <v>32</v>
      </c>
      <c r="M741" s="0" t="s">
        <v>33</v>
      </c>
      <c r="N741" s="0" t="s">
        <v>337</v>
      </c>
      <c r="O741" s="0" t="s">
        <v>35</v>
      </c>
      <c r="P741" s="0" t="s">
        <v>527</v>
      </c>
      <c r="Q741" s="0" t="s">
        <v>2382</v>
      </c>
      <c r="R741" s="0" t="s">
        <v>2964</v>
      </c>
      <c r="S741" s="0" t="s">
        <v>337</v>
      </c>
      <c r="T741" s="0">
        <f>HYPERLINK("https://storage.sslt.ae/ItemVariation/08DCF9B4-BA78-4A7E-8492-7847D3CE89C2/FF033F6C-2A79-490A-BA43-AC5E1B7E7EBE.jpg","Variant Image")</f>
      </c>
      <c r="U741" s="0">
        <f>HYPERLINK("https://ec-qa-storage.kldlms.com/Item/08DCF9B4-BA78-4A7E-8492-7847D3CE89C2/69228DBE-94EE-4B1B-9E51-797BB771352E.jpg","Thumbnail Image")</f>
      </c>
      <c r="V741" s="0">
        <f>HYPERLINK("https://ec-qa-storage.kldlms.com/ItemGallery/08DCF9B4-BA78-4A7E-8492-7847D3CE89C2/48D68912-93D6-4F32-9524-1F553229C33E.jpg","Gallery Image ")</f>
      </c>
      <c r="W741" s="0" t="s">
        <v>22</v>
      </c>
      <c r="X741" s="0" t="s">
        <v>3094</v>
      </c>
    </row>
    <row r="742">
      <c r="A742" s="0" t="s">
        <v>3095</v>
      </c>
      <c r="B742" s="0" t="s">
        <v>3095</v>
      </c>
      <c r="C742" s="0" t="s">
        <v>3096</v>
      </c>
      <c r="D742" s="0" t="s">
        <v>27</v>
      </c>
      <c r="E742" s="0" t="s">
        <v>3097</v>
      </c>
      <c r="F742" s="0" t="s">
        <v>2631</v>
      </c>
      <c r="G742" s="0" t="s">
        <v>3095</v>
      </c>
      <c r="H742" s="0" t="s">
        <v>3095</v>
      </c>
      <c r="I742" s="0" t="s">
        <v>615</v>
      </c>
      <c r="J742" s="0" t="s">
        <v>615</v>
      </c>
      <c r="K742" s="0" t="s">
        <v>3098</v>
      </c>
      <c r="L742" s="0" t="s">
        <v>32</v>
      </c>
      <c r="M742" s="0" t="s">
        <v>33</v>
      </c>
      <c r="N742" s="0" t="s">
        <v>160</v>
      </c>
      <c r="O742" s="0" t="s">
        <v>35</v>
      </c>
      <c r="P742" s="0" t="s">
        <v>39</v>
      </c>
      <c r="Q742" s="0" t="s">
        <v>3099</v>
      </c>
      <c r="R742" s="0" t="s">
        <v>3096</v>
      </c>
      <c r="S742" s="0" t="s">
        <v>160</v>
      </c>
      <c r="T742" s="0">
        <f>HYPERLINK("https://storage.sslt.ae/ItemVariation/08DCFA77-A5BE-4842-8286-4320D506F1E9/66F0C686-9D06-4CFA-A19C-B34BDD4C2DF7.png","Variant Image")</f>
      </c>
      <c r="U742" s="0">
        <f>HYPERLINK("https://ec-qa-storage.kldlms.com/Item/08DCFA77-A5BE-4842-8286-4320D506F1E9/1121E72C-C2F0-43A8-8263-02EA3BCCAED5.png","Thumbnail Image")</f>
      </c>
      <c r="V742" s="0">
        <f>HYPERLINK("https://ec-qa-storage.kldlms.com/ItemGallery/08DCFA77-A5BE-4842-8286-4320D506F1E9/4287D0CE-A3A5-40D1-8424-62EAA3661021.png","Gallery Image ")</f>
      </c>
      <c r="W742" s="0" t="s">
        <v>22</v>
      </c>
      <c r="X742" s="0" t="s">
        <v>3100</v>
      </c>
    </row>
    <row r="743">
      <c r="A743" s="0" t="s">
        <v>3101</v>
      </c>
      <c r="B743" s="0" t="s">
        <v>3101</v>
      </c>
      <c r="C743" s="0" t="s">
        <v>3102</v>
      </c>
      <c r="D743" s="0" t="s">
        <v>27</v>
      </c>
      <c r="E743" s="0" t="s">
        <v>3097</v>
      </c>
      <c r="F743" s="0" t="s">
        <v>2631</v>
      </c>
      <c r="G743" s="0" t="s">
        <v>3101</v>
      </c>
      <c r="H743" s="0" t="s">
        <v>3101</v>
      </c>
      <c r="I743" s="0" t="s">
        <v>615</v>
      </c>
      <c r="J743" s="0" t="s">
        <v>615</v>
      </c>
      <c r="K743" s="0" t="s">
        <v>3103</v>
      </c>
      <c r="L743" s="0" t="s">
        <v>32</v>
      </c>
      <c r="M743" s="0" t="s">
        <v>33</v>
      </c>
      <c r="N743" s="0" t="s">
        <v>243</v>
      </c>
      <c r="O743" s="0" t="s">
        <v>35</v>
      </c>
      <c r="P743" s="0" t="s">
        <v>39</v>
      </c>
      <c r="Q743" s="0" t="s">
        <v>3104</v>
      </c>
      <c r="R743" s="0" t="s">
        <v>3102</v>
      </c>
      <c r="S743" s="0" t="s">
        <v>243</v>
      </c>
      <c r="T743" s="0">
        <f>HYPERLINK("https://storage.sslt.ae/ItemVariation/08DCFA77-A69A-4D3C-82DA-54B5E277E11A/1BBC5111-E294-4CFC-9B7B-9DA97BC3C19A.png","Variant Image")</f>
      </c>
      <c r="U743" s="0">
        <f>HYPERLINK("https://ec-qa-storage.kldlms.com/Item/08DCFA77-A69A-4D3C-82DA-54B5E277E11A/41979CBA-1AB4-4198-9261-061A8DA087D0.png","Thumbnail Image")</f>
      </c>
      <c r="V743" s="0">
        <f>HYPERLINK("https://ec-qa-storage.kldlms.com/ItemGallery/08DCFA77-A69A-4D3C-82DA-54B5E277E11A/A833820C-2F19-484E-BE80-3373E7E08551.png","Gallery Image ")</f>
      </c>
      <c r="W743" s="0" t="s">
        <v>22</v>
      </c>
      <c r="X743" s="0" t="s">
        <v>3105</v>
      </c>
    </row>
    <row r="744">
      <c r="A744" s="0" t="s">
        <v>3106</v>
      </c>
      <c r="B744" s="0" t="s">
        <v>3106</v>
      </c>
      <c r="C744" s="0" t="s">
        <v>3107</v>
      </c>
      <c r="D744" s="0" t="s">
        <v>27</v>
      </c>
      <c r="E744" s="0" t="s">
        <v>3108</v>
      </c>
      <c r="F744" s="0" t="s">
        <v>2631</v>
      </c>
      <c r="G744" s="0" t="s">
        <v>3106</v>
      </c>
      <c r="H744" s="0" t="s">
        <v>3106</v>
      </c>
      <c r="I744" s="0" t="s">
        <v>615</v>
      </c>
      <c r="J744" s="0" t="s">
        <v>615</v>
      </c>
      <c r="K744" s="0" t="s">
        <v>1611</v>
      </c>
      <c r="L744" s="0" t="s">
        <v>32</v>
      </c>
      <c r="M744" s="0" t="s">
        <v>33</v>
      </c>
      <c r="N744" s="0" t="s">
        <v>140</v>
      </c>
      <c r="O744" s="0" t="s">
        <v>35</v>
      </c>
      <c r="P744" s="0" t="s">
        <v>39</v>
      </c>
      <c r="Q744" s="0" t="s">
        <v>3109</v>
      </c>
      <c r="R744" s="0" t="s">
        <v>3107</v>
      </c>
      <c r="S744" s="0" t="s">
        <v>140</v>
      </c>
      <c r="T744" s="0">
        <f>HYPERLINK("https://storage.sslt.ae/ItemVariation/08DCFA77-A6F6-4B63-8533-5FC65ED76B06/C24F3554-9C1F-46E8-A622-22B9B5EEC25D.png","Variant Image")</f>
      </c>
      <c r="U744" s="0">
        <f>HYPERLINK("https://ec-qa-storage.kldlms.com/Item/08DCFA77-A6F6-4B63-8533-5FC65ED76B06/2382A8FD-95BF-4A24-9CA5-00F296BAE118.png","Thumbnail Image")</f>
      </c>
      <c r="V744" s="0">
        <f>HYPERLINK("https://ec-qa-storage.kldlms.com/ItemGallery/08DCFA77-A6F6-4B63-8533-5FC65ED76B06/413DBF4C-F7DA-4ADE-B75E-843FE45A2234.png","Gallery Image ")</f>
      </c>
      <c r="W744" s="0" t="s">
        <v>22</v>
      </c>
      <c r="X744" s="0" t="s">
        <v>3110</v>
      </c>
    </row>
    <row r="745">
      <c r="A745" s="0" t="s">
        <v>3111</v>
      </c>
      <c r="B745" s="0" t="s">
        <v>3111</v>
      </c>
      <c r="C745" s="0" t="s">
        <v>3112</v>
      </c>
      <c r="D745" s="0" t="s">
        <v>27</v>
      </c>
      <c r="E745" s="0" t="s">
        <v>3113</v>
      </c>
      <c r="F745" s="0" t="s">
        <v>80</v>
      </c>
      <c r="G745" s="0" t="s">
        <v>3111</v>
      </c>
      <c r="H745" s="0" t="s">
        <v>3111</v>
      </c>
      <c r="I745" s="0" t="s">
        <v>615</v>
      </c>
      <c r="J745" s="0" t="s">
        <v>615</v>
      </c>
      <c r="K745" s="0" t="s">
        <v>3114</v>
      </c>
      <c r="L745" s="0" t="s">
        <v>32</v>
      </c>
      <c r="M745" s="0" t="s">
        <v>33</v>
      </c>
      <c r="N745" s="0" t="s">
        <v>404</v>
      </c>
      <c r="O745" s="0" t="s">
        <v>35</v>
      </c>
      <c r="P745" s="0" t="s">
        <v>39</v>
      </c>
      <c r="Q745" s="0" t="s">
        <v>3115</v>
      </c>
      <c r="R745" s="0" t="s">
        <v>3112</v>
      </c>
      <c r="S745" s="0" t="s">
        <v>404</v>
      </c>
      <c r="T745" s="0">
        <f>HYPERLINK("https://storage.sslt.ae/ItemVariation/08DCFA77-A751-46E9-8C30-62C692D9EE56/80792579-59AD-43FA-A99B-BD7AAC20E86C.png","Variant Image")</f>
      </c>
      <c r="U745" s="0">
        <f>HYPERLINK("https://ec-qa-storage.kldlms.com/Item/08DCFA77-A751-46E9-8C30-62C692D9EE56/01FA883F-5622-4427-BABC-F20245FDC12C.png","Thumbnail Image")</f>
      </c>
      <c r="V745" s="0">
        <f>HYPERLINK("https://ec-qa-storage.kldlms.com/ItemGallery/08DCFA77-A751-46E9-8C30-62C692D9EE56/191D6F2F-DCC7-47BE-8CEF-E1A6FC00D3D3.png","Gallery Image ")</f>
      </c>
      <c r="W745" s="0" t="s">
        <v>22</v>
      </c>
      <c r="X745" s="0" t="s">
        <v>3116</v>
      </c>
    </row>
    <row r="746">
      <c r="A746" s="0" t="s">
        <v>3117</v>
      </c>
      <c r="B746" s="0" t="s">
        <v>3117</v>
      </c>
      <c r="C746" s="0" t="s">
        <v>3118</v>
      </c>
      <c r="D746" s="0" t="s">
        <v>27</v>
      </c>
      <c r="E746" s="0" t="s">
        <v>3119</v>
      </c>
      <c r="F746" s="0" t="s">
        <v>3120</v>
      </c>
      <c r="G746" s="0" t="s">
        <v>3117</v>
      </c>
      <c r="H746" s="0" t="s">
        <v>3117</v>
      </c>
      <c r="I746" s="0" t="s">
        <v>615</v>
      </c>
      <c r="J746" s="0" t="s">
        <v>615</v>
      </c>
      <c r="K746" s="0" t="s">
        <v>3121</v>
      </c>
      <c r="L746" s="0" t="s">
        <v>32</v>
      </c>
      <c r="M746" s="0" t="s">
        <v>33</v>
      </c>
      <c r="N746" s="0" t="s">
        <v>3122</v>
      </c>
      <c r="O746" s="0" t="s">
        <v>35</v>
      </c>
      <c r="P746" s="0" t="s">
        <v>39</v>
      </c>
      <c r="Q746" s="0" t="s">
        <v>3123</v>
      </c>
      <c r="R746" s="0" t="s">
        <v>3118</v>
      </c>
      <c r="S746" s="0" t="s">
        <v>3122</v>
      </c>
      <c r="T746" s="0">
        <f>HYPERLINK("https://storage.sslt.ae/ItemVariation/08DCFA77-A7AD-49EE-8206-C65AB400F125/47F1BD7D-CF2C-46AF-8368-BD9B46184D7A.png","Variant Image")</f>
      </c>
      <c r="U746" s="0">
        <f>HYPERLINK("https://ec-qa-storage.kldlms.com/Item/08DCFA77-A7AD-49EE-8206-C65AB400F125/1A673B1E-4ABC-4DA8-82EC-2AFC3B2D1CF4.png","Thumbnail Image")</f>
      </c>
      <c r="V746" s="0">
        <f>HYPERLINK("https://ec-qa-storage.kldlms.com/ItemGallery/08DCFA77-A7AD-49EE-8206-C65AB400F125/52ADA493-BDB6-49C7-9FCE-406322CAC300.png","Gallery Image ")</f>
      </c>
      <c r="W746" s="0" t="s">
        <v>22</v>
      </c>
      <c r="X746" s="0" t="s">
        <v>3124</v>
      </c>
    </row>
    <row r="747">
      <c r="A747" s="0" t="s">
        <v>3125</v>
      </c>
      <c r="B747" s="0" t="s">
        <v>3125</v>
      </c>
      <c r="C747" s="0" t="s">
        <v>3126</v>
      </c>
      <c r="D747" s="0" t="s">
        <v>27</v>
      </c>
      <c r="E747" s="0" t="s">
        <v>3127</v>
      </c>
      <c r="F747" s="0" t="s">
        <v>557</v>
      </c>
      <c r="G747" s="0" t="s">
        <v>3125</v>
      </c>
      <c r="H747" s="0" t="s">
        <v>3125</v>
      </c>
      <c r="I747" s="0" t="s">
        <v>615</v>
      </c>
      <c r="J747" s="0" t="s">
        <v>615</v>
      </c>
      <c r="K747" s="0" t="s">
        <v>2304</v>
      </c>
      <c r="L747" s="0" t="s">
        <v>32</v>
      </c>
      <c r="M747" s="0" t="s">
        <v>33</v>
      </c>
      <c r="N747" s="0" t="s">
        <v>164</v>
      </c>
      <c r="O747" s="0" t="s">
        <v>35</v>
      </c>
      <c r="P747" s="0" t="s">
        <v>39</v>
      </c>
      <c r="Q747" s="0" t="s">
        <v>2306</v>
      </c>
      <c r="R747" s="0" t="s">
        <v>3126</v>
      </c>
      <c r="S747" s="0" t="s">
        <v>164</v>
      </c>
      <c r="T747" s="0">
        <f>HYPERLINK("https://storage.sslt.ae/ItemVariation/08DCFA77-A809-4D40-8035-26E641C051CA/6633A29B-E695-4F98-8E4C-2711F1BF6364.png","Variant Image")</f>
      </c>
      <c r="U747" s="0">
        <f>HYPERLINK("https://ec-qa-storage.kldlms.com/Item/08DCFA77-A809-4D40-8035-26E641C051CA/DEE5555B-9394-44CF-8C30-3002BC640977.png","Thumbnail Image")</f>
      </c>
      <c r="V747" s="0">
        <f>HYPERLINK("https://ec-qa-storage.kldlms.com/ItemGallery/08DCFA77-A809-4D40-8035-26E641C051CA/3DD4FD0B-F6B5-4FB2-9D7B-5E5CC40837F7.png","Gallery Image ")</f>
      </c>
      <c r="W747" s="0" t="s">
        <v>22</v>
      </c>
      <c r="X747" s="0" t="s">
        <v>3128</v>
      </c>
    </row>
    <row r="748">
      <c r="A748" s="0" t="s">
        <v>3129</v>
      </c>
      <c r="B748" s="0" t="s">
        <v>3129</v>
      </c>
      <c r="C748" s="0" t="s">
        <v>3130</v>
      </c>
      <c r="D748" s="0" t="s">
        <v>27</v>
      </c>
      <c r="E748" s="0" t="s">
        <v>3127</v>
      </c>
      <c r="F748" s="0" t="s">
        <v>557</v>
      </c>
      <c r="G748" s="0" t="s">
        <v>3129</v>
      </c>
      <c r="H748" s="0" t="s">
        <v>3129</v>
      </c>
      <c r="I748" s="0" t="s">
        <v>615</v>
      </c>
      <c r="J748" s="0" t="s">
        <v>615</v>
      </c>
      <c r="K748" s="0" t="s">
        <v>3131</v>
      </c>
      <c r="L748" s="0" t="s">
        <v>32</v>
      </c>
      <c r="M748" s="0" t="s">
        <v>33</v>
      </c>
      <c r="N748" s="0" t="s">
        <v>1119</v>
      </c>
      <c r="O748" s="0" t="s">
        <v>35</v>
      </c>
      <c r="P748" s="0" t="s">
        <v>39</v>
      </c>
      <c r="Q748" s="0" t="s">
        <v>3132</v>
      </c>
      <c r="R748" s="0" t="s">
        <v>3130</v>
      </c>
      <c r="S748" s="0" t="s">
        <v>1119</v>
      </c>
      <c r="T748" s="0">
        <f>HYPERLINK("https://storage.sslt.ae/ItemVariation/08DCFA77-A866-4525-85DE-100E7B741F04/BF9404DA-68EE-4F74-BC23-AC429836F659.png","Variant Image")</f>
      </c>
      <c r="U748" s="0">
        <f>HYPERLINK("https://ec-qa-storage.kldlms.com/Item/08DCFA77-A866-4525-85DE-100E7B741F04/DFDFA666-851D-46B5-873C-0DF844E0FFC2.png","Thumbnail Image")</f>
      </c>
      <c r="V748" s="0">
        <f>HYPERLINK("https://ec-qa-storage.kldlms.com/ItemGallery/08DCFA77-A866-4525-85DE-100E7B741F04/9B2AB270-F9AD-4362-ABB1-5B5B11C95A85.png","Gallery Image ")</f>
      </c>
      <c r="W748" s="0" t="s">
        <v>22</v>
      </c>
      <c r="X748" s="0" t="s">
        <v>3133</v>
      </c>
    </row>
    <row r="749">
      <c r="A749" s="0" t="s">
        <v>3134</v>
      </c>
      <c r="B749" s="0" t="s">
        <v>3134</v>
      </c>
      <c r="C749" s="0" t="s">
        <v>3135</v>
      </c>
      <c r="D749" s="0" t="s">
        <v>27</v>
      </c>
      <c r="E749" s="0" t="s">
        <v>3136</v>
      </c>
      <c r="F749" s="0" t="s">
        <v>3137</v>
      </c>
      <c r="G749" s="0" t="s">
        <v>3134</v>
      </c>
      <c r="H749" s="0" t="s">
        <v>3134</v>
      </c>
      <c r="I749" s="0" t="s">
        <v>3138</v>
      </c>
      <c r="J749" s="0" t="s">
        <v>3138</v>
      </c>
      <c r="K749" s="0" t="s">
        <v>3139</v>
      </c>
      <c r="L749" s="0" t="s">
        <v>32</v>
      </c>
      <c r="M749" s="0" t="s">
        <v>61</v>
      </c>
      <c r="N749" s="0" t="s">
        <v>140</v>
      </c>
      <c r="O749" s="0" t="s">
        <v>35</v>
      </c>
      <c r="P749" s="0" t="s">
        <v>39</v>
      </c>
      <c r="Q749" s="0" t="s">
        <v>3140</v>
      </c>
      <c r="R749" s="0" t="s">
        <v>3135</v>
      </c>
      <c r="S749" s="0" t="s">
        <v>140</v>
      </c>
      <c r="T749" s="0">
        <f>HYPERLINK("https://storage.sslt.ae/ItemVariation/08DCFA77-A8C2-4C20-8671-BD2CE084E205/7322FDBD-E1E8-422B-A2DC-37A072AEEE16.png","Variant Image")</f>
      </c>
      <c r="U749" s="0">
        <f>HYPERLINK("https://ec-qa-storage.kldlms.com/Item/08DCFA77-A8C2-4C20-8671-BD2CE084E205/0435EE64-C1BC-447A-BE78-D9E350C1CA09.jpg","Thumbnail Image")</f>
      </c>
      <c r="V749" s="0">
        <f>HYPERLINK("https://ec-qa-storage.kldlms.com/ItemGallery/08DCFA77-A8C2-4C20-8671-BD2CE084E205/0E5222FF-D627-48EF-BF4B-EDEF2400B819.jpg","Gallery Image ")</f>
      </c>
      <c r="W749" s="0" t="s">
        <v>22</v>
      </c>
    </row>
    <row r="750">
      <c r="P750" s="0" t="s">
        <v>527</v>
      </c>
      <c r="Q750" s="0" t="s">
        <v>3139</v>
      </c>
      <c r="R750" s="0" t="s">
        <v>3135</v>
      </c>
      <c r="S750" s="0" t="s">
        <v>32</v>
      </c>
      <c r="T750" s="0">
        <f>HYPERLINK("https://ec-qa-storage.kldlms.com/ItemVariation/08DCFA77-A8C2-4C20-8671-BD2CE084E205/A76462A8-52B2-4FF5-8A0B-F67CACA962D0.jpg","Variant Image")</f>
      </c>
    </row>
    <row r="751">
      <c r="A751" s="0" t="s">
        <v>1985</v>
      </c>
      <c r="B751" s="0" t="s">
        <v>1985</v>
      </c>
      <c r="C751" s="0" t="s">
        <v>3141</v>
      </c>
      <c r="D751" s="0" t="s">
        <v>27</v>
      </c>
      <c r="E751" s="0" t="s">
        <v>3127</v>
      </c>
      <c r="F751" s="0" t="s">
        <v>557</v>
      </c>
      <c r="G751" s="0" t="s">
        <v>1985</v>
      </c>
      <c r="H751" s="0" t="s">
        <v>1985</v>
      </c>
      <c r="I751" s="0" t="s">
        <v>615</v>
      </c>
      <c r="J751" s="0" t="s">
        <v>615</v>
      </c>
      <c r="K751" s="0" t="s">
        <v>3142</v>
      </c>
      <c r="L751" s="0" t="s">
        <v>32</v>
      </c>
      <c r="M751" s="0" t="s">
        <v>33</v>
      </c>
      <c r="N751" s="0" t="s">
        <v>35</v>
      </c>
      <c r="O751" s="0" t="s">
        <v>35</v>
      </c>
      <c r="P751" s="0" t="s">
        <v>39</v>
      </c>
      <c r="Q751" s="0" t="s">
        <v>3143</v>
      </c>
      <c r="R751" s="0" t="s">
        <v>3141</v>
      </c>
      <c r="S751" s="0" t="s">
        <v>35</v>
      </c>
      <c r="T751" s="0">
        <f>HYPERLINK("https://storage.sslt.ae/ItemVariation/08DCFA77-A91E-4B04-841D-86EC5B859B0A/8C069D55-1CCD-4755-B7E2-6973615B89F1.png","Variant Image")</f>
      </c>
      <c r="U751" s="0">
        <f>HYPERLINK("https://ec-qa-storage.kldlms.com/Item/08DCFA77-A91E-4B04-841D-86EC5B859B0A/A6D83B72-52B6-48A1-951B-AC507EF45A05.png","Thumbnail Image")</f>
      </c>
      <c r="V751" s="0">
        <f>HYPERLINK("https://ec-qa-storage.kldlms.com/ItemGallery/08DCFA77-A91E-4B04-841D-86EC5B859B0A/4C63C5D7-EE6C-46E1-9997-54E9C9FD8669.png","Gallery Image ")</f>
      </c>
      <c r="W751" s="0" t="s">
        <v>22</v>
      </c>
      <c r="X751" s="0" t="s">
        <v>3144</v>
      </c>
    </row>
    <row r="752">
      <c r="A752" s="0" t="s">
        <v>3145</v>
      </c>
      <c r="B752" s="0" t="s">
        <v>3145</v>
      </c>
      <c r="C752" s="0" t="s">
        <v>3146</v>
      </c>
      <c r="D752" s="0" t="s">
        <v>27</v>
      </c>
      <c r="E752" s="0" t="s">
        <v>3127</v>
      </c>
      <c r="F752" s="0" t="s">
        <v>557</v>
      </c>
      <c r="G752" s="0" t="s">
        <v>3145</v>
      </c>
      <c r="H752" s="0" t="s">
        <v>3145</v>
      </c>
      <c r="I752" s="0" t="s">
        <v>615</v>
      </c>
      <c r="J752" s="0" t="s">
        <v>615</v>
      </c>
      <c r="K752" s="0" t="s">
        <v>2292</v>
      </c>
      <c r="L752" s="0" t="s">
        <v>32</v>
      </c>
      <c r="M752" s="0" t="s">
        <v>33</v>
      </c>
      <c r="N752" s="0" t="s">
        <v>202</v>
      </c>
      <c r="O752" s="0" t="s">
        <v>35</v>
      </c>
      <c r="P752" s="0" t="s">
        <v>39</v>
      </c>
      <c r="Q752" s="0" t="s">
        <v>2293</v>
      </c>
      <c r="R752" s="0" t="s">
        <v>3146</v>
      </c>
      <c r="S752" s="0" t="s">
        <v>202</v>
      </c>
      <c r="T752" s="0">
        <f>HYPERLINK("https://storage.sslt.ae/ItemVariation/08DCFA77-A979-470B-81E7-2D8A7AFFE0AE/209B0A95-0917-4DC0-9C10-0F37C31A41B2.png","Variant Image")</f>
      </c>
      <c r="U752" s="0">
        <f>HYPERLINK("https://ec-qa-storage.kldlms.com/Item/08DCFA77-A979-470B-81E7-2D8A7AFFE0AE/DCABB085-3022-4C45-A7D1-223878958AE2.png","Thumbnail Image")</f>
      </c>
      <c r="V752" s="0">
        <f>HYPERLINK("https://ec-qa-storage.kldlms.com/ItemGallery/08DCFA77-A979-470B-81E7-2D8A7AFFE0AE/F0345A5F-ECDE-47D3-8474-71D18BA127B8.png","Gallery Image ")</f>
      </c>
      <c r="W752" s="0" t="s">
        <v>22</v>
      </c>
      <c r="X752" s="0" t="s">
        <v>3147</v>
      </c>
    </row>
    <row r="753">
      <c r="A753" s="0" t="s">
        <v>3148</v>
      </c>
      <c r="B753" s="0" t="s">
        <v>3148</v>
      </c>
      <c r="C753" s="0" t="s">
        <v>3149</v>
      </c>
      <c r="D753" s="0" t="s">
        <v>27</v>
      </c>
      <c r="E753" s="0" t="s">
        <v>3127</v>
      </c>
      <c r="F753" s="0" t="s">
        <v>557</v>
      </c>
      <c r="G753" s="0" t="s">
        <v>3148</v>
      </c>
      <c r="H753" s="0" t="s">
        <v>3148</v>
      </c>
      <c r="I753" s="0" t="s">
        <v>615</v>
      </c>
      <c r="J753" s="0" t="s">
        <v>615</v>
      </c>
      <c r="K753" s="0" t="s">
        <v>3150</v>
      </c>
      <c r="L753" s="0" t="s">
        <v>32</v>
      </c>
      <c r="M753" s="0" t="s">
        <v>33</v>
      </c>
      <c r="N753" s="0" t="s">
        <v>110</v>
      </c>
      <c r="O753" s="0" t="s">
        <v>35</v>
      </c>
      <c r="P753" s="0" t="s">
        <v>39</v>
      </c>
      <c r="Q753" s="0" t="s">
        <v>3151</v>
      </c>
      <c r="R753" s="0" t="s">
        <v>3149</v>
      </c>
      <c r="S753" s="0" t="s">
        <v>110</v>
      </c>
      <c r="T753" s="0">
        <f>HYPERLINK("https://storage.sslt.ae/ItemVariation/08DCFA77-A9D6-424B-8033-681EFF1506DA/CF1B44D8-909B-44B1-A60C-054558F10FC0.png","Variant Image")</f>
      </c>
      <c r="U753" s="0">
        <f>HYPERLINK("https://ec-qa-storage.kldlms.com/Item/08DCFA77-A9D6-424B-8033-681EFF1506DA/CC82F043-A3C7-4185-AA1F-2A56B54C72FE.png","Thumbnail Image")</f>
      </c>
      <c r="V753" s="0">
        <f>HYPERLINK("https://ec-qa-storage.kldlms.com/ItemGallery/08DCFA77-A9D6-424B-8033-681EFF1506DA/124D89BE-5DAF-4FE0-A407-A80CDF805765.png","Gallery Image ")</f>
      </c>
      <c r="W753" s="0" t="s">
        <v>22</v>
      </c>
      <c r="X753" s="0" t="s">
        <v>3152</v>
      </c>
    </row>
    <row r="754">
      <c r="A754" s="0" t="s">
        <v>3153</v>
      </c>
      <c r="B754" s="0" t="s">
        <v>3153</v>
      </c>
      <c r="C754" s="0" t="s">
        <v>3154</v>
      </c>
      <c r="D754" s="0" t="s">
        <v>27</v>
      </c>
      <c r="E754" s="0" t="s">
        <v>3155</v>
      </c>
      <c r="F754" s="0" t="s">
        <v>3137</v>
      </c>
      <c r="G754" s="0" t="s">
        <v>3153</v>
      </c>
      <c r="H754" s="0" t="s">
        <v>3153</v>
      </c>
      <c r="I754" s="0" t="s">
        <v>3156</v>
      </c>
      <c r="J754" s="0" t="s">
        <v>3156</v>
      </c>
      <c r="K754" s="0" t="s">
        <v>3157</v>
      </c>
      <c r="L754" s="0" t="s">
        <v>32</v>
      </c>
      <c r="M754" s="0" t="s">
        <v>61</v>
      </c>
      <c r="N754" s="0" t="s">
        <v>1030</v>
      </c>
      <c r="O754" s="0" t="s">
        <v>35</v>
      </c>
      <c r="P754" s="0" t="s">
        <v>39</v>
      </c>
      <c r="Q754" s="0" t="s">
        <v>3158</v>
      </c>
      <c r="R754" s="0" t="s">
        <v>3154</v>
      </c>
      <c r="S754" s="0" t="s">
        <v>1030</v>
      </c>
      <c r="T754" s="0">
        <f>HYPERLINK("https://storage.sslt.ae/ItemVariation/08DCFA77-AA31-4339-8B87-FCDEFFB073B1/0C38EE04-8C35-47D7-934A-150C666B3DCF.png","Variant Image")</f>
      </c>
      <c r="U754" s="0">
        <f>HYPERLINK("https://ec-qa-storage.kldlms.com/Item/08DCFA77-AA31-4339-8B87-FCDEFFB073B1/338A9D1D-E785-427C-BA71-A9949192FF22.jpg","Thumbnail Image")</f>
      </c>
      <c r="V754" s="0">
        <f>HYPERLINK("https://ec-qa-storage.kldlms.com/ItemGallery/08DCFA77-AA31-4339-8B87-FCDEFFB073B1/55B44937-034B-438B-8B34-389453DBC53E.jpg","Gallery Image ")</f>
      </c>
      <c r="W754" s="0" t="s">
        <v>22</v>
      </c>
    </row>
    <row r="755">
      <c r="P755" s="0" t="s">
        <v>527</v>
      </c>
      <c r="Q755" s="0" t="s">
        <v>3157</v>
      </c>
      <c r="R755" s="0" t="s">
        <v>3154</v>
      </c>
      <c r="S755" s="0" t="s">
        <v>32</v>
      </c>
      <c r="T755" s="0">
        <f>HYPERLINK("https://ec-qa-storage.kldlms.com/ItemVariation/08DCFA77-AA31-4339-8B87-FCDEFFB073B1/612C8F61-5FDA-4AD4-854B-D63D97D8C12C.jpg","Variant Image")</f>
      </c>
    </row>
    <row r="756">
      <c r="A756" s="0" t="s">
        <v>3153</v>
      </c>
      <c r="B756" s="0" t="s">
        <v>3153</v>
      </c>
      <c r="C756" s="0" t="s">
        <v>3159</v>
      </c>
      <c r="D756" s="0" t="s">
        <v>27</v>
      </c>
      <c r="E756" s="0" t="s">
        <v>3160</v>
      </c>
      <c r="F756" s="0" t="s">
        <v>3137</v>
      </c>
      <c r="G756" s="0" t="s">
        <v>3153</v>
      </c>
      <c r="H756" s="0" t="s">
        <v>3153</v>
      </c>
      <c r="I756" s="0" t="s">
        <v>3161</v>
      </c>
      <c r="J756" s="0" t="s">
        <v>3161</v>
      </c>
      <c r="K756" s="0" t="s">
        <v>3162</v>
      </c>
      <c r="L756" s="0" t="s">
        <v>32</v>
      </c>
      <c r="M756" s="0" t="s">
        <v>61</v>
      </c>
      <c r="N756" s="0" t="s">
        <v>2204</v>
      </c>
      <c r="O756" s="0" t="s">
        <v>35</v>
      </c>
      <c r="P756" s="0" t="s">
        <v>39</v>
      </c>
      <c r="Q756" s="0" t="s">
        <v>3163</v>
      </c>
      <c r="R756" s="0" t="s">
        <v>3159</v>
      </c>
      <c r="S756" s="0" t="s">
        <v>2204</v>
      </c>
      <c r="T756" s="0">
        <f>HYPERLINK("https://storage.sslt.ae/ItemVariation/08DCFA77-AA8D-4622-8A49-048283FEF476/369BC1DC-813A-4C76-B635-69A5347F5492.png","Variant Image")</f>
      </c>
      <c r="U756" s="0">
        <f>HYPERLINK("https://ec-qa-storage.kldlms.com/Item/08DCFA77-AA8D-4622-8A49-048283FEF476/DD804DF5-0BE8-4548-8BDE-FF992D1709A8.jpg","Thumbnail Image")</f>
      </c>
      <c r="V756" s="0">
        <f>HYPERLINK("https://ec-qa-storage.kldlms.com/ItemGallery/08DCFA77-AA8D-4622-8A49-048283FEF476/87EC8D1E-6A7B-4B71-9952-02777B210257.jpg","Gallery Image ")</f>
      </c>
      <c r="W756" s="0" t="s">
        <v>22</v>
      </c>
    </row>
    <row r="757">
      <c r="P757" s="0" t="s">
        <v>593</v>
      </c>
      <c r="Q757" s="0" t="s">
        <v>3162</v>
      </c>
      <c r="R757" s="0" t="s">
        <v>3159</v>
      </c>
      <c r="S757" s="0" t="s">
        <v>32</v>
      </c>
      <c r="T757" s="0">
        <f>HYPERLINK("https://ec-qa-storage.kldlms.com/ItemVariation/08DCFA77-AA8D-4622-8A49-048283FEF476/CDCAE763-3C8D-4523-A167-D8887205FF7B.jpg","Variant Image")</f>
      </c>
    </row>
    <row r="758">
      <c r="A758" s="0" t="s">
        <v>3164</v>
      </c>
      <c r="B758" s="0" t="s">
        <v>3164</v>
      </c>
      <c r="C758" s="0" t="s">
        <v>3165</v>
      </c>
      <c r="D758" s="0" t="s">
        <v>27</v>
      </c>
      <c r="E758" s="0" t="s">
        <v>3127</v>
      </c>
      <c r="F758" s="0" t="s">
        <v>557</v>
      </c>
      <c r="G758" s="0" t="s">
        <v>3164</v>
      </c>
      <c r="H758" s="0" t="s">
        <v>3164</v>
      </c>
      <c r="I758" s="0" t="s">
        <v>615</v>
      </c>
      <c r="J758" s="0" t="s">
        <v>615</v>
      </c>
      <c r="K758" s="0" t="s">
        <v>3166</v>
      </c>
      <c r="L758" s="0" t="s">
        <v>32</v>
      </c>
      <c r="M758" s="0" t="s">
        <v>33</v>
      </c>
      <c r="N758" s="0" t="s">
        <v>140</v>
      </c>
      <c r="O758" s="0" t="s">
        <v>35</v>
      </c>
      <c r="P758" s="0" t="s">
        <v>39</v>
      </c>
      <c r="Q758" s="0" t="s">
        <v>3167</v>
      </c>
      <c r="R758" s="0" t="s">
        <v>3165</v>
      </c>
      <c r="S758" s="0" t="s">
        <v>140</v>
      </c>
      <c r="T758" s="0">
        <f>HYPERLINK("https://storage.sslt.ae/ItemVariation/08DCFA77-AAE8-4A75-8F99-129D45006F94/12F65F49-7808-4A3D-92AD-F99F6125A860.png","Variant Image")</f>
      </c>
      <c r="U758" s="0">
        <f>HYPERLINK("https://ec-qa-storage.kldlms.com/Item/08DCFA77-AAE8-4A75-8F99-129D45006F94/EB72D142-EA8A-4B69-8095-448BAC350BE1.png","Thumbnail Image")</f>
      </c>
      <c r="V758" s="0">
        <f>HYPERLINK("https://ec-qa-storage.kldlms.com/ItemGallery/08DCFA77-AAE8-4A75-8F99-129D45006F94/251B2589-329E-41B0-BDB0-0DDD09E7AF55.png","Gallery Image ")</f>
      </c>
      <c r="W758" s="0" t="s">
        <v>22</v>
      </c>
      <c r="X758" s="0" t="s">
        <v>3168</v>
      </c>
    </row>
    <row r="759">
      <c r="A759" s="0" t="s">
        <v>3164</v>
      </c>
      <c r="B759" s="0" t="s">
        <v>3164</v>
      </c>
      <c r="C759" s="0" t="s">
        <v>3169</v>
      </c>
      <c r="D759" s="0" t="s">
        <v>27</v>
      </c>
      <c r="E759" s="0" t="s">
        <v>3127</v>
      </c>
      <c r="F759" s="0" t="s">
        <v>557</v>
      </c>
      <c r="G759" s="0" t="s">
        <v>3164</v>
      </c>
      <c r="H759" s="0" t="s">
        <v>3164</v>
      </c>
      <c r="I759" s="0" t="s">
        <v>615</v>
      </c>
      <c r="J759" s="0" t="s">
        <v>615</v>
      </c>
      <c r="K759" s="0" t="s">
        <v>3170</v>
      </c>
      <c r="L759" s="0" t="s">
        <v>32</v>
      </c>
      <c r="M759" s="0" t="s">
        <v>33</v>
      </c>
      <c r="N759" s="0" t="s">
        <v>100</v>
      </c>
      <c r="O759" s="0" t="s">
        <v>35</v>
      </c>
      <c r="P759" s="0" t="s">
        <v>39</v>
      </c>
      <c r="Q759" s="0" t="s">
        <v>3171</v>
      </c>
      <c r="R759" s="0" t="s">
        <v>3169</v>
      </c>
      <c r="S759" s="0" t="s">
        <v>100</v>
      </c>
      <c r="T759" s="0">
        <f>HYPERLINK("https://storage.sslt.ae/ItemVariation/08DCFA77-AB46-418F-8349-E57ACF03D0E6/B950F2F5-6781-4D31-84F8-A9EC57EE004C.png","Variant Image")</f>
      </c>
      <c r="U759" s="0">
        <f>HYPERLINK("https://ec-qa-storage.kldlms.com/Item/08DCFA77-AB46-418F-8349-E57ACF03D0E6/23A7600D-DD03-42B6-9F51-8C3955FB00C9.png","Thumbnail Image")</f>
      </c>
      <c r="V759" s="0">
        <f>HYPERLINK("https://ec-qa-storage.kldlms.com/ItemGallery/08DCFA77-AB46-418F-8349-E57ACF03D0E6/E8493188-2600-4BF4-90A5-0659976364F4.png","Gallery Image ")</f>
      </c>
      <c r="W759" s="0" t="s">
        <v>22</v>
      </c>
      <c r="X759" s="0" t="s">
        <v>3172</v>
      </c>
    </row>
    <row r="760">
      <c r="A760" s="0" t="s">
        <v>3164</v>
      </c>
      <c r="B760" s="0" t="s">
        <v>3164</v>
      </c>
      <c r="C760" s="0" t="s">
        <v>3173</v>
      </c>
      <c r="D760" s="0" t="s">
        <v>27</v>
      </c>
      <c r="E760" s="0" t="s">
        <v>3136</v>
      </c>
      <c r="F760" s="0" t="s">
        <v>3137</v>
      </c>
      <c r="G760" s="0" t="s">
        <v>3164</v>
      </c>
      <c r="H760" s="0" t="s">
        <v>3164</v>
      </c>
      <c r="I760" s="0" t="s">
        <v>3174</v>
      </c>
      <c r="J760" s="0" t="s">
        <v>3174</v>
      </c>
      <c r="K760" s="0" t="s">
        <v>3034</v>
      </c>
      <c r="L760" s="0" t="s">
        <v>32</v>
      </c>
      <c r="M760" s="0" t="s">
        <v>61</v>
      </c>
      <c r="N760" s="0" t="s">
        <v>205</v>
      </c>
      <c r="O760" s="0" t="s">
        <v>35</v>
      </c>
      <c r="P760" s="0" t="s">
        <v>39</v>
      </c>
      <c r="Q760" s="0" t="s">
        <v>3035</v>
      </c>
      <c r="R760" s="0" t="s">
        <v>3173</v>
      </c>
      <c r="S760" s="0" t="s">
        <v>205</v>
      </c>
      <c r="T760" s="0">
        <f>HYPERLINK("https://storage.sslt.ae/ItemVariation/08DCFA77-ABA0-4E01-8698-CD5E15847933/34B72E9B-688C-4072-A090-F5DC454D6D8A.png","Variant Image")</f>
      </c>
      <c r="U760" s="0">
        <f>HYPERLINK("https://ec-qa-storage.kldlms.com/Item/08DCFA77-ABA0-4E01-8698-CD5E15847933/F79F0547-C131-4B75-89DA-621872C5E60A.jpg","Thumbnail Image")</f>
      </c>
      <c r="V760" s="0">
        <f>HYPERLINK("https://ec-qa-storage.kldlms.com/ItemGallery/08DCFA77-ABA0-4E01-8698-CD5E15847933/D822D5EB-9A20-404F-8749-F492391A5103.jpg","Gallery Image ")</f>
      </c>
      <c r="W760" s="0" t="s">
        <v>22</v>
      </c>
    </row>
    <row r="761">
      <c r="P761" s="0" t="s">
        <v>527</v>
      </c>
      <c r="Q761" s="0" t="s">
        <v>3034</v>
      </c>
      <c r="R761" s="0" t="s">
        <v>3173</v>
      </c>
      <c r="S761" s="0" t="s">
        <v>32</v>
      </c>
      <c r="T761" s="0">
        <f>HYPERLINK("https://ec-qa-storage.kldlms.com/ItemVariation/08DCFA77-ABA0-4E01-8698-CD5E15847933/72D1FBAB-8397-410E-A6E1-79C020E03088.jpg","Variant Image")</f>
      </c>
    </row>
    <row r="762">
      <c r="P762" s="0" t="s">
        <v>593</v>
      </c>
      <c r="Q762" s="0" t="s">
        <v>3034</v>
      </c>
      <c r="R762" s="0" t="s">
        <v>3165</v>
      </c>
      <c r="S762" s="0" t="s">
        <v>32</v>
      </c>
      <c r="T762" s="0">
        <f>HYPERLINK("https://ec-qa-storage.kldlms.com/ItemVariation/08DCFA77-ABA0-4E01-8698-CD5E15847933/C217D4D6-2E58-425C-8720-A05D8EA8AADE.jpg","Variant Image")</f>
      </c>
    </row>
    <row r="763">
      <c r="A763" s="0" t="s">
        <v>3175</v>
      </c>
      <c r="B763" s="0" t="s">
        <v>3175</v>
      </c>
      <c r="C763" s="0" t="s">
        <v>3176</v>
      </c>
      <c r="D763" s="0" t="s">
        <v>27</v>
      </c>
      <c r="E763" s="0" t="s">
        <v>3177</v>
      </c>
      <c r="F763" s="0" t="s">
        <v>3137</v>
      </c>
      <c r="G763" s="0" t="s">
        <v>3175</v>
      </c>
      <c r="H763" s="0" t="s">
        <v>3175</v>
      </c>
      <c r="I763" s="0" t="s">
        <v>3178</v>
      </c>
      <c r="J763" s="0" t="s">
        <v>3178</v>
      </c>
      <c r="K763" s="0" t="s">
        <v>3179</v>
      </c>
      <c r="L763" s="0" t="s">
        <v>32</v>
      </c>
      <c r="M763" s="0" t="s">
        <v>61</v>
      </c>
      <c r="N763" s="0" t="s">
        <v>512</v>
      </c>
      <c r="O763" s="0" t="s">
        <v>35</v>
      </c>
      <c r="P763" s="0" t="s">
        <v>39</v>
      </c>
      <c r="Q763" s="0" t="s">
        <v>3180</v>
      </c>
      <c r="R763" s="0" t="s">
        <v>3176</v>
      </c>
      <c r="S763" s="0" t="s">
        <v>512</v>
      </c>
      <c r="T763" s="0">
        <f>HYPERLINK("https://storage.sslt.ae/ItemVariation/08DCFA77-ABFD-4A47-8183-E672A44D76E2/DC072871-803A-42C1-B94C-CB254C7CC434.png","Variant Image")</f>
      </c>
      <c r="U763" s="0">
        <f>HYPERLINK("https://ec-qa-storage.kldlms.com/Item/08DCFA77-ABFD-4A47-8183-E672A44D76E2/D5C9AFEB-4A84-4DE4-A0E3-259029D6FCF3.webp","Thumbnail Image")</f>
      </c>
      <c r="V763" s="0">
        <f>HYPERLINK("https://ec-qa-storage.kldlms.com/ItemGallery/08DCFA77-ABFD-4A47-8183-E672A44D76E2/4FBE0F9F-AE53-4E1A-97B9-27A5C48BB0A8.jpg","Gallery Image ")</f>
      </c>
      <c r="W763" s="0" t="s">
        <v>22</v>
      </c>
    </row>
    <row r="764">
      <c r="P764" s="0" t="s">
        <v>527</v>
      </c>
      <c r="Q764" s="0" t="s">
        <v>3179</v>
      </c>
      <c r="R764" s="0" t="s">
        <v>3176</v>
      </c>
      <c r="S764" s="0" t="s">
        <v>32</v>
      </c>
      <c r="T764" s="0">
        <f>HYPERLINK("https://ec-qa-storage.kldlms.com/ItemVariation/08DCFA77-ABFD-4A47-8183-E672A44D76E2/D6FE9D64-7BA9-4DAD-94E4-B0CBF61096A5.webp","Variant Image")</f>
      </c>
    </row>
    <row r="765">
      <c r="A765" s="0" t="s">
        <v>3181</v>
      </c>
      <c r="B765" s="0" t="s">
        <v>3181</v>
      </c>
      <c r="C765" s="0" t="s">
        <v>3182</v>
      </c>
      <c r="D765" s="0" t="s">
        <v>27</v>
      </c>
      <c r="E765" s="0" t="s">
        <v>3127</v>
      </c>
      <c r="F765" s="0" t="s">
        <v>557</v>
      </c>
      <c r="G765" s="0" t="s">
        <v>3181</v>
      </c>
      <c r="H765" s="0" t="s">
        <v>3181</v>
      </c>
      <c r="I765" s="0" t="s">
        <v>615</v>
      </c>
      <c r="J765" s="0" t="s">
        <v>615</v>
      </c>
      <c r="K765" s="0" t="s">
        <v>3183</v>
      </c>
      <c r="L765" s="0" t="s">
        <v>32</v>
      </c>
      <c r="M765" s="0" t="s">
        <v>33</v>
      </c>
      <c r="N765" s="0" t="s">
        <v>110</v>
      </c>
      <c r="O765" s="0" t="s">
        <v>35</v>
      </c>
      <c r="P765" s="0" t="s">
        <v>39</v>
      </c>
      <c r="Q765" s="0" t="s">
        <v>3184</v>
      </c>
      <c r="R765" s="0" t="s">
        <v>3182</v>
      </c>
      <c r="S765" s="0" t="s">
        <v>110</v>
      </c>
      <c r="T765" s="0">
        <f>HYPERLINK("https://storage.sslt.ae/ItemVariation/08DCFA77-AC59-40D2-8CE6-5CE53B636A16/F15F0377-C1A0-410F-A061-FC953D11F2A0.png","Variant Image")</f>
      </c>
      <c r="U765" s="0">
        <f>HYPERLINK("https://ec-qa-storage.kldlms.com/Item/08DCFA77-AC59-40D2-8CE6-5CE53B636A16/6D683790-EAA4-46E8-BC4D-5F18E116E982.png","Thumbnail Image")</f>
      </c>
      <c r="V765" s="0">
        <f>HYPERLINK("https://ec-qa-storage.kldlms.com/ItemGallery/08DCFA77-AC59-40D2-8CE6-5CE53B636A16/698F8FC0-3215-4490-A31C-23D82C1195C3.png","Gallery Image ")</f>
      </c>
      <c r="W765" s="0" t="s">
        <v>22</v>
      </c>
      <c r="X765" s="0" t="s">
        <v>3185</v>
      </c>
    </row>
    <row r="766">
      <c r="A766" s="0" t="s">
        <v>3186</v>
      </c>
      <c r="B766" s="0" t="s">
        <v>3186</v>
      </c>
      <c r="C766" s="0" t="s">
        <v>3187</v>
      </c>
      <c r="D766" s="0" t="s">
        <v>27</v>
      </c>
      <c r="E766" s="0" t="s">
        <v>3155</v>
      </c>
      <c r="F766" s="0" t="s">
        <v>3137</v>
      </c>
      <c r="G766" s="0" t="s">
        <v>3186</v>
      </c>
      <c r="H766" s="0" t="s">
        <v>3186</v>
      </c>
      <c r="I766" s="0" t="s">
        <v>3188</v>
      </c>
      <c r="J766" s="0" t="s">
        <v>3188</v>
      </c>
      <c r="K766" s="0" t="s">
        <v>3189</v>
      </c>
      <c r="L766" s="0" t="s">
        <v>32</v>
      </c>
      <c r="M766" s="0" t="s">
        <v>61</v>
      </c>
      <c r="N766" s="0" t="s">
        <v>243</v>
      </c>
      <c r="O766" s="0" t="s">
        <v>35</v>
      </c>
      <c r="P766" s="0" t="s">
        <v>39</v>
      </c>
      <c r="Q766" s="0" t="s">
        <v>3190</v>
      </c>
      <c r="R766" s="0" t="s">
        <v>3187</v>
      </c>
      <c r="S766" s="0" t="s">
        <v>243</v>
      </c>
      <c r="T766" s="0">
        <f>HYPERLINK("https://storage.sslt.ae/ItemVariation/08DCFA77-ACB4-475E-8B8E-A55CB0482DD8/4A2491FF-B620-4167-80C4-53C094543FD0.png","Variant Image")</f>
      </c>
      <c r="U766" s="0">
        <f>HYPERLINK("https://ec-qa-storage.kldlms.com/Item/08DCFA77-ACB4-475E-8B8E-A55CB0482DD8/FDC3AA65-2820-4FD9-ACE0-23B5289977DD.jpg","Thumbnail Image")</f>
      </c>
      <c r="V766" s="0">
        <f>HYPERLINK("https://ec-qa-storage.kldlms.com/ItemGallery/08DCFA77-ACB4-475E-8B8E-A55CB0482DD8/4F076601-10BF-4D30-BBF3-A71E25793CAB.jpg","Gallery Image ")</f>
      </c>
      <c r="W766" s="0" t="s">
        <v>22</v>
      </c>
    </row>
    <row r="767">
      <c r="P767" s="0" t="s">
        <v>527</v>
      </c>
      <c r="Q767" s="0" t="s">
        <v>3189</v>
      </c>
      <c r="R767" s="0" t="s">
        <v>3187</v>
      </c>
      <c r="S767" s="0" t="s">
        <v>32</v>
      </c>
      <c r="T767" s="0">
        <f>HYPERLINK("https://ec-qa-storage.kldlms.com/ItemVariation/08DCFA77-ACB4-475E-8B8E-A55CB0482DD8/159DE31A-19EB-420A-B5AF-72316E16BD17.jpg","Variant Image")</f>
      </c>
    </row>
    <row r="768">
      <c r="A768" s="0" t="s">
        <v>3191</v>
      </c>
      <c r="B768" s="0" t="s">
        <v>3191</v>
      </c>
      <c r="C768" s="0" t="s">
        <v>3192</v>
      </c>
      <c r="D768" s="0" t="s">
        <v>27</v>
      </c>
      <c r="E768" s="0" t="s">
        <v>3127</v>
      </c>
      <c r="F768" s="0" t="s">
        <v>557</v>
      </c>
      <c r="G768" s="0" t="s">
        <v>3191</v>
      </c>
      <c r="H768" s="0" t="s">
        <v>3191</v>
      </c>
      <c r="I768" s="0" t="s">
        <v>615</v>
      </c>
      <c r="J768" s="0" t="s">
        <v>615</v>
      </c>
      <c r="K768" s="0" t="s">
        <v>3193</v>
      </c>
      <c r="L768" s="0" t="s">
        <v>32</v>
      </c>
      <c r="M768" s="0" t="s">
        <v>33</v>
      </c>
      <c r="N768" s="0" t="s">
        <v>349</v>
      </c>
      <c r="O768" s="0" t="s">
        <v>35</v>
      </c>
      <c r="P768" s="0" t="s">
        <v>39</v>
      </c>
      <c r="Q768" s="0" t="s">
        <v>3194</v>
      </c>
      <c r="R768" s="0" t="s">
        <v>3192</v>
      </c>
      <c r="S768" s="0" t="s">
        <v>349</v>
      </c>
      <c r="T768" s="0">
        <f>HYPERLINK("https://storage.sslt.ae/ItemVariation/08DCFA77-AD13-4390-8B62-3F3251362FCC/4D0D9D11-719E-4232-816B-BB9DF3DBD67E.png","Variant Image")</f>
      </c>
      <c r="U768" s="0">
        <f>HYPERLINK("https://ec-qa-storage.kldlms.com/Item/08DCFA77-AD13-4390-8B62-3F3251362FCC/BCE7C967-E29B-4EA3-8A06-87B2135DAB7A.png","Thumbnail Image")</f>
      </c>
      <c r="V768" s="0">
        <f>HYPERLINK("https://ec-qa-storage.kldlms.com/ItemGallery/08DCFA77-AD13-4390-8B62-3F3251362FCC/7C1E54F1-E560-4F90-B18E-0FA5D8F83E47.png","Gallery Image ")</f>
      </c>
      <c r="W768" s="0" t="s">
        <v>22</v>
      </c>
      <c r="X768" s="0" t="s">
        <v>3195</v>
      </c>
    </row>
    <row r="769">
      <c r="A769" s="0" t="s">
        <v>3191</v>
      </c>
      <c r="B769" s="0" t="s">
        <v>3191</v>
      </c>
      <c r="C769" s="0" t="s">
        <v>3196</v>
      </c>
      <c r="D769" s="0" t="s">
        <v>27</v>
      </c>
      <c r="E769" s="0" t="s">
        <v>3155</v>
      </c>
      <c r="F769" s="0" t="s">
        <v>3137</v>
      </c>
      <c r="G769" s="0" t="s">
        <v>3191</v>
      </c>
      <c r="H769" s="0" t="s">
        <v>3191</v>
      </c>
      <c r="I769" s="0" t="s">
        <v>3197</v>
      </c>
      <c r="J769" s="0" t="s">
        <v>3197</v>
      </c>
      <c r="K769" s="0" t="s">
        <v>3198</v>
      </c>
      <c r="L769" s="0" t="s">
        <v>32</v>
      </c>
      <c r="M769" s="0" t="s">
        <v>61</v>
      </c>
      <c r="N769" s="0" t="s">
        <v>232</v>
      </c>
      <c r="O769" s="0" t="s">
        <v>35</v>
      </c>
      <c r="P769" s="0" t="s">
        <v>39</v>
      </c>
      <c r="Q769" s="0" t="s">
        <v>3199</v>
      </c>
      <c r="R769" s="0" t="s">
        <v>3196</v>
      </c>
      <c r="S769" s="0" t="s">
        <v>232</v>
      </c>
      <c r="T769" s="0">
        <f>HYPERLINK("https://storage.sslt.ae/ItemVariation/08DCFA77-AD6C-4E85-8D8E-E3C5AF26B9B4/53CEE607-41C5-43DA-9FF3-2ADD1EE720E4.png","Variant Image")</f>
      </c>
      <c r="U769" s="0">
        <f>HYPERLINK("https://ec-qa-storage.kldlms.com/Item/08DCFA77-AD6C-4E85-8D8E-E3C5AF26B9B4/01859B3F-9851-466A-B5CA-CD8C4290F81B.jpg","Thumbnail Image")</f>
      </c>
      <c r="V769" s="0">
        <f>HYPERLINK("https://ec-qa-storage.kldlms.com/ItemGallery/08DCFA77-AD6C-4E85-8D8E-E3C5AF26B9B4/46253EE2-4D51-47A6-8CB2-45F3ED2C72F0.jpg","Gallery Image ")</f>
      </c>
      <c r="W769" s="0" t="s">
        <v>22</v>
      </c>
    </row>
    <row r="770">
      <c r="P770" s="0" t="s">
        <v>527</v>
      </c>
      <c r="Q770" s="0" t="s">
        <v>3198</v>
      </c>
      <c r="R770" s="0" t="s">
        <v>3196</v>
      </c>
      <c r="S770" s="0" t="s">
        <v>32</v>
      </c>
      <c r="T770" s="0">
        <f>HYPERLINK("https://ec-qa-storage.kldlms.com/ItemVariation/08DCFA77-AD6C-4E85-8D8E-E3C5AF26B9B4/4611CBC4-7BD8-4DF9-9F0C-D61FDD4E9054.jpg","Variant Image")</f>
      </c>
    </row>
    <row r="771">
      <c r="P771" s="0" t="s">
        <v>593</v>
      </c>
      <c r="Q771" s="0" t="s">
        <v>3198</v>
      </c>
      <c r="R771" s="0" t="s">
        <v>3192</v>
      </c>
      <c r="S771" s="0" t="s">
        <v>32</v>
      </c>
      <c r="T771" s="0">
        <f>HYPERLINK("https://ec-qa-storage.kldlms.com/ItemVariation/08DCFA77-AD6C-4E85-8D8E-E3C5AF26B9B4/30957432-2EE6-480E-ABB5-21C08C23066A.jpg","Variant Image")</f>
      </c>
    </row>
    <row r="772">
      <c r="A772" s="0" t="s">
        <v>3200</v>
      </c>
      <c r="B772" s="0" t="s">
        <v>3200</v>
      </c>
      <c r="C772" s="0" t="s">
        <v>3201</v>
      </c>
      <c r="D772" s="0" t="s">
        <v>27</v>
      </c>
      <c r="E772" s="0" t="s">
        <v>3155</v>
      </c>
      <c r="F772" s="0" t="s">
        <v>3137</v>
      </c>
      <c r="G772" s="0" t="s">
        <v>3200</v>
      </c>
      <c r="H772" s="0" t="s">
        <v>3200</v>
      </c>
      <c r="I772" s="0" t="s">
        <v>3202</v>
      </c>
      <c r="J772" s="0" t="s">
        <v>3202</v>
      </c>
      <c r="K772" s="0" t="s">
        <v>3203</v>
      </c>
      <c r="L772" s="0" t="s">
        <v>32</v>
      </c>
      <c r="M772" s="0" t="s">
        <v>61</v>
      </c>
      <c r="N772" s="0" t="s">
        <v>245</v>
      </c>
      <c r="O772" s="0" t="s">
        <v>35</v>
      </c>
      <c r="P772" s="0" t="s">
        <v>39</v>
      </c>
      <c r="Q772" s="0" t="s">
        <v>3204</v>
      </c>
      <c r="R772" s="0" t="s">
        <v>3201</v>
      </c>
      <c r="S772" s="0" t="s">
        <v>245</v>
      </c>
      <c r="T772" s="0">
        <f>HYPERLINK("https://storage.sslt.ae/ItemVariation/08DCFA77-ADCA-4E75-8C7C-2D0C7179FD6C/86ED3DFD-6471-409E-A0D3-80AFE352B932.png","Variant Image")</f>
      </c>
      <c r="U772" s="0">
        <f>HYPERLINK("https://ec-qa-storage.kldlms.com/Item/08DCFA77-ADCA-4E75-8C7C-2D0C7179FD6C/FA084E70-BB00-47F5-979C-216A52C43E8F.jpg","Thumbnail Image")</f>
      </c>
      <c r="V772" s="0">
        <f>HYPERLINK("https://ec-qa-storage.kldlms.com/ItemGallery/08DCFA77-ADCA-4E75-8C7C-2D0C7179FD6C/97997BB9-AB3B-4E53-A432-4E2171479899.jpg","Gallery Image ")</f>
      </c>
      <c r="W772" s="0" t="s">
        <v>22</v>
      </c>
    </row>
    <row r="773">
      <c r="P773" s="0" t="s">
        <v>593</v>
      </c>
      <c r="Q773" s="0" t="s">
        <v>3203</v>
      </c>
      <c r="R773" s="0" t="s">
        <v>3201</v>
      </c>
      <c r="S773" s="0" t="s">
        <v>32</v>
      </c>
      <c r="T773" s="0">
        <f>HYPERLINK("https://ec-qa-storage.kldlms.com/ItemVariation/08DCFA77-ADCA-4E75-8C7C-2D0C7179FD6C/2167A207-5EA2-4F3A-A432-D4D5EDA39557.jpg","Variant Image")</f>
      </c>
    </row>
    <row r="774">
      <c r="A774" s="0" t="s">
        <v>3200</v>
      </c>
      <c r="B774" s="0" t="s">
        <v>3200</v>
      </c>
      <c r="C774" s="0" t="s">
        <v>3205</v>
      </c>
      <c r="D774" s="0" t="s">
        <v>27</v>
      </c>
      <c r="E774" s="0" t="s">
        <v>3127</v>
      </c>
      <c r="F774" s="0" t="s">
        <v>557</v>
      </c>
      <c r="G774" s="0" t="s">
        <v>3200</v>
      </c>
      <c r="H774" s="0" t="s">
        <v>3200</v>
      </c>
      <c r="I774" s="0" t="s">
        <v>615</v>
      </c>
      <c r="J774" s="0" t="s">
        <v>615</v>
      </c>
      <c r="K774" s="0" t="s">
        <v>3206</v>
      </c>
      <c r="L774" s="0" t="s">
        <v>32</v>
      </c>
      <c r="M774" s="0" t="s">
        <v>33</v>
      </c>
      <c r="N774" s="0" t="s">
        <v>3066</v>
      </c>
      <c r="O774" s="0" t="s">
        <v>35</v>
      </c>
      <c r="P774" s="0" t="s">
        <v>39</v>
      </c>
      <c r="Q774" s="0" t="s">
        <v>3207</v>
      </c>
      <c r="R774" s="0" t="s">
        <v>3205</v>
      </c>
      <c r="S774" s="0" t="s">
        <v>3066</v>
      </c>
      <c r="T774" s="0">
        <f>HYPERLINK("https://storage.sslt.ae/ItemVariation/08DCFA77-AE25-4328-83DB-C0A6CA363AF6/7F18BE42-4F08-4E0A-AC3D-81D573B497B2.png","Variant Image")</f>
      </c>
      <c r="U774" s="0">
        <f>HYPERLINK("https://ec-qa-storage.kldlms.com/Item/08DCFA77-AE25-4328-83DB-C0A6CA363AF6/0308ACC8-14A8-40B5-8977-EFF0CCC827B0.png","Thumbnail Image")</f>
      </c>
      <c r="V774" s="0">
        <f>HYPERLINK("https://ec-qa-storage.kldlms.com/ItemGallery/08DCFA77-AE25-4328-83DB-C0A6CA363AF6/6086DC7A-8414-49D1-84BE-61A874952789.png","Gallery Image ")</f>
      </c>
      <c r="W774" s="0" t="s">
        <v>22</v>
      </c>
      <c r="X774" s="0" t="s">
        <v>3208</v>
      </c>
    </row>
    <row r="775">
      <c r="A775" s="0" t="s">
        <v>3209</v>
      </c>
      <c r="B775" s="0" t="s">
        <v>3209</v>
      </c>
      <c r="C775" s="0" t="s">
        <v>3210</v>
      </c>
      <c r="D775" s="0" t="s">
        <v>27</v>
      </c>
      <c r="E775" s="0" t="s">
        <v>3127</v>
      </c>
      <c r="F775" s="0" t="s">
        <v>557</v>
      </c>
      <c r="G775" s="0" t="s">
        <v>3209</v>
      </c>
      <c r="H775" s="0" t="s">
        <v>3209</v>
      </c>
      <c r="I775" s="0" t="s">
        <v>615</v>
      </c>
      <c r="J775" s="0" t="s">
        <v>615</v>
      </c>
      <c r="K775" s="0" t="s">
        <v>2217</v>
      </c>
      <c r="L775" s="0" t="s">
        <v>32</v>
      </c>
      <c r="M775" s="0" t="s">
        <v>33</v>
      </c>
      <c r="N775" s="0" t="s">
        <v>110</v>
      </c>
      <c r="O775" s="0" t="s">
        <v>35</v>
      </c>
      <c r="P775" s="0" t="s">
        <v>39</v>
      </c>
      <c r="Q775" s="0" t="s">
        <v>2219</v>
      </c>
      <c r="R775" s="0" t="s">
        <v>3210</v>
      </c>
      <c r="S775" s="0" t="s">
        <v>110</v>
      </c>
      <c r="T775" s="0">
        <f>HYPERLINK("https://storage.sslt.ae/ItemVariation/08DCFA77-AE80-4444-80A9-FFD0EFD6F417/27B6889F-6F27-462D-B7C5-AE1B9078FAB6.png","Variant Image")</f>
      </c>
      <c r="U775" s="0">
        <f>HYPERLINK("https://ec-qa-storage.kldlms.com/Item/08DCFA77-AE80-4444-80A9-FFD0EFD6F417/314208BB-B936-47E4-95D8-5F837EA15D90.png","Thumbnail Image")</f>
      </c>
      <c r="V775" s="0">
        <f>HYPERLINK("https://ec-qa-storage.kldlms.com/ItemGallery/08DCFA77-AE80-4444-80A9-FFD0EFD6F417/BBF39FED-FDB0-4FCD-B531-7B3083FE0320.png","Gallery Image ")</f>
      </c>
      <c r="W775" s="0" t="s">
        <v>22</v>
      </c>
      <c r="X775" s="0" t="s">
        <v>3211</v>
      </c>
    </row>
    <row r="776">
      <c r="A776" s="0" t="s">
        <v>3212</v>
      </c>
      <c r="B776" s="0" t="s">
        <v>3212</v>
      </c>
      <c r="C776" s="0" t="s">
        <v>3213</v>
      </c>
      <c r="D776" s="0" t="s">
        <v>27</v>
      </c>
      <c r="E776" s="0" t="s">
        <v>3136</v>
      </c>
      <c r="F776" s="0" t="s">
        <v>3137</v>
      </c>
      <c r="G776" s="0" t="s">
        <v>3212</v>
      </c>
      <c r="H776" s="0" t="s">
        <v>3212</v>
      </c>
      <c r="I776" s="0" t="s">
        <v>3214</v>
      </c>
      <c r="J776" s="0" t="s">
        <v>3214</v>
      </c>
      <c r="K776" s="0" t="s">
        <v>3215</v>
      </c>
      <c r="L776" s="0" t="s">
        <v>32</v>
      </c>
      <c r="M776" s="0" t="s">
        <v>61</v>
      </c>
      <c r="N776" s="0" t="s">
        <v>110</v>
      </c>
      <c r="O776" s="0" t="s">
        <v>35</v>
      </c>
      <c r="P776" s="0" t="s">
        <v>39</v>
      </c>
      <c r="Q776" s="0" t="s">
        <v>3216</v>
      </c>
      <c r="R776" s="0" t="s">
        <v>3213</v>
      </c>
      <c r="S776" s="0" t="s">
        <v>110</v>
      </c>
      <c r="T776" s="0">
        <f>HYPERLINK("https://storage.sslt.ae/ItemVariation/08DCFA77-AEDC-45D8-88C6-CC73BEF41A9C/2F737820-123B-416A-B251-7A2CFE3716B3.png","Variant Image")</f>
      </c>
      <c r="U776" s="0">
        <f>HYPERLINK("https://ec-qa-storage.kldlms.com/Item/08DCFA77-AEDC-45D8-88C6-CC73BEF41A9C/7B423E13-2D57-4E8F-8E1E-638F3A00B069.jpg","Thumbnail Image")</f>
      </c>
      <c r="V776" s="0">
        <f>HYPERLINK("https://ec-qa-storage.kldlms.com/ItemGallery/08DCFA77-AEDC-45D8-88C6-CC73BEF41A9C/C8FA92D0-E268-47A9-BB39-6DE79FA895F5.jpg","Gallery Image ")</f>
      </c>
      <c r="W776" s="0" t="s">
        <v>22</v>
      </c>
    </row>
    <row r="777">
      <c r="P777" s="0" t="s">
        <v>527</v>
      </c>
      <c r="Q777" s="0" t="s">
        <v>3215</v>
      </c>
      <c r="R777" s="0" t="s">
        <v>3213</v>
      </c>
      <c r="S777" s="0" t="s">
        <v>32</v>
      </c>
      <c r="T777" s="0">
        <f>HYPERLINK("https://ec-qa-storage.kldlms.com/ItemVariation/08DCFA77-AEDC-45D8-88C6-CC73BEF41A9C/B815836C-D7E4-4290-9774-0EFE7AA5855E.jpg","Variant Image")</f>
      </c>
    </row>
    <row r="778">
      <c r="A778" s="0" t="s">
        <v>3217</v>
      </c>
      <c r="B778" s="0" t="s">
        <v>3217</v>
      </c>
      <c r="C778" s="0" t="s">
        <v>3218</v>
      </c>
      <c r="D778" s="0" t="s">
        <v>27</v>
      </c>
      <c r="E778" s="0" t="s">
        <v>3127</v>
      </c>
      <c r="F778" s="0" t="s">
        <v>557</v>
      </c>
      <c r="G778" s="0" t="s">
        <v>3217</v>
      </c>
      <c r="H778" s="0" t="s">
        <v>3217</v>
      </c>
      <c r="I778" s="0" t="s">
        <v>615</v>
      </c>
      <c r="J778" s="0" t="s">
        <v>615</v>
      </c>
      <c r="K778" s="0" t="s">
        <v>3219</v>
      </c>
      <c r="L778" s="0" t="s">
        <v>32</v>
      </c>
      <c r="M778" s="0" t="s">
        <v>33</v>
      </c>
      <c r="N778" s="0" t="s">
        <v>349</v>
      </c>
      <c r="O778" s="0" t="s">
        <v>35</v>
      </c>
      <c r="P778" s="0" t="s">
        <v>39</v>
      </c>
      <c r="Q778" s="0" t="s">
        <v>3220</v>
      </c>
      <c r="R778" s="0" t="s">
        <v>3218</v>
      </c>
      <c r="S778" s="0" t="s">
        <v>349</v>
      </c>
      <c r="T778" s="0">
        <f>HYPERLINK("https://storage.sslt.ae/ItemVariation/08DCFA77-AF39-42CE-8791-555314B0A6A9/8665B2A2-99F7-4EE7-B6ED-EFB25DDC1BD3.png","Variant Image")</f>
      </c>
      <c r="U778" s="0">
        <f>HYPERLINK("https://ec-qa-storage.kldlms.com/Item/08DCFA77-AF39-42CE-8791-555314B0A6A9/AA35E6EE-C68B-4127-80D3-FE8B231ACD46.png","Thumbnail Image")</f>
      </c>
      <c r="V778" s="0">
        <f>HYPERLINK("https://ec-qa-storage.kldlms.com/ItemGallery/08DCFA77-AF39-42CE-8791-555314B0A6A9/283363DA-CB8E-439A-8051-EF8B0217796A.png","Gallery Image ")</f>
      </c>
      <c r="W778" s="0" t="s">
        <v>22</v>
      </c>
      <c r="X778" s="0" t="s">
        <v>3221</v>
      </c>
    </row>
    <row r="779">
      <c r="A779" s="0" t="s">
        <v>3217</v>
      </c>
      <c r="B779" s="0" t="s">
        <v>3217</v>
      </c>
      <c r="C779" s="0" t="s">
        <v>3222</v>
      </c>
      <c r="D779" s="0" t="s">
        <v>27</v>
      </c>
      <c r="E779" s="0" t="s">
        <v>3155</v>
      </c>
      <c r="F779" s="0" t="s">
        <v>3137</v>
      </c>
      <c r="G779" s="0" t="s">
        <v>3217</v>
      </c>
      <c r="H779" s="0" t="s">
        <v>3217</v>
      </c>
      <c r="I779" s="0" t="s">
        <v>3223</v>
      </c>
      <c r="J779" s="0" t="s">
        <v>3223</v>
      </c>
      <c r="K779" s="0" t="s">
        <v>408</v>
      </c>
      <c r="L779" s="0" t="s">
        <v>32</v>
      </c>
      <c r="M779" s="0" t="s">
        <v>61</v>
      </c>
      <c r="N779" s="0" t="s">
        <v>100</v>
      </c>
      <c r="O779" s="0" t="s">
        <v>35</v>
      </c>
      <c r="P779" s="0" t="s">
        <v>39</v>
      </c>
      <c r="Q779" s="0" t="s">
        <v>3224</v>
      </c>
      <c r="R779" s="0" t="s">
        <v>3222</v>
      </c>
      <c r="S779" s="0" t="s">
        <v>100</v>
      </c>
      <c r="T779" s="0">
        <f>HYPERLINK("https://storage.sslt.ae/ItemVariation/08DCFA77-AF94-4DF7-8615-68A8AA9C2EFC/2BA3CDA8-8098-4160-AC05-5937D5104D8D.png","Variant Image")</f>
      </c>
      <c r="U779" s="0">
        <f>HYPERLINK("https://ec-qa-storage.kldlms.com/Item/08DCFA77-AF94-4DF7-8615-68A8AA9C2EFC/E337088A-4FA7-4688-A2A1-00BC2E3ECDFC.jpg","Thumbnail Image")</f>
      </c>
      <c r="V779" s="0">
        <f>HYPERLINK("https://ec-qa-storage.kldlms.com/ItemGallery/08DCFA77-AF94-4DF7-8615-68A8AA9C2EFC/D345188F-21E0-4FE2-A6F3-970D8A7F7D31.jpg","Gallery Image ")</f>
      </c>
      <c r="W779" s="0" t="s">
        <v>22</v>
      </c>
    </row>
    <row r="780">
      <c r="P780" s="0" t="s">
        <v>527</v>
      </c>
      <c r="Q780" s="0" t="s">
        <v>408</v>
      </c>
      <c r="R780" s="0" t="s">
        <v>3222</v>
      </c>
      <c r="S780" s="0" t="s">
        <v>32</v>
      </c>
      <c r="T780" s="0">
        <f>HYPERLINK("https://ec-qa-storage.kldlms.com/ItemVariation/08DCFA77-AF94-4DF7-8615-68A8AA9C2EFC/B09391E1-CCB5-4796-8F94-93A16EE008A9.jpg","Variant Image")</f>
      </c>
    </row>
    <row r="781">
      <c r="P781" s="0" t="s">
        <v>593</v>
      </c>
      <c r="Q781" s="0" t="s">
        <v>408</v>
      </c>
      <c r="R781" s="0" t="s">
        <v>3218</v>
      </c>
      <c r="S781" s="0" t="s">
        <v>32</v>
      </c>
      <c r="T781" s="0">
        <f>HYPERLINK("https://ec-qa-storage.kldlms.com/ItemVariation/08DCFA77-AF94-4DF7-8615-68A8AA9C2EFC/950BCD58-4B4F-48D8-810B-55F23C29655A.jpg","Variant Image")</f>
      </c>
    </row>
    <row r="782">
      <c r="A782" s="0" t="s">
        <v>3225</v>
      </c>
      <c r="B782" s="0" t="s">
        <v>3225</v>
      </c>
      <c r="C782" s="0" t="s">
        <v>3226</v>
      </c>
      <c r="D782" s="0" t="s">
        <v>27</v>
      </c>
      <c r="E782" s="0" t="s">
        <v>3155</v>
      </c>
      <c r="F782" s="0" t="s">
        <v>3137</v>
      </c>
      <c r="G782" s="0" t="s">
        <v>3225</v>
      </c>
      <c r="H782" s="0" t="s">
        <v>3225</v>
      </c>
      <c r="I782" s="0" t="s">
        <v>3227</v>
      </c>
      <c r="J782" s="0" t="s">
        <v>3227</v>
      </c>
      <c r="K782" s="0" t="s">
        <v>3228</v>
      </c>
      <c r="L782" s="0" t="s">
        <v>32</v>
      </c>
      <c r="M782" s="0" t="s">
        <v>61</v>
      </c>
      <c r="N782" s="0" t="s">
        <v>404</v>
      </c>
      <c r="O782" s="0" t="s">
        <v>35</v>
      </c>
      <c r="P782" s="0" t="s">
        <v>39</v>
      </c>
      <c r="Q782" s="0" t="s">
        <v>3229</v>
      </c>
      <c r="R782" s="0" t="s">
        <v>3226</v>
      </c>
      <c r="S782" s="0" t="s">
        <v>404</v>
      </c>
      <c r="T782" s="0">
        <f>HYPERLINK("https://storage.sslt.ae/ItemVariation/08DCFA77-AFF0-46C3-873E-EC0EB08D9EA6/F797367C-B73C-4DD4-9C4C-E05C39E3735E.png","Variant Image")</f>
      </c>
      <c r="U782" s="0">
        <f>HYPERLINK("https://ec-qa-storage.kldlms.com/Item/08DCFA77-AFF0-46C3-873E-EC0EB08D9EA6/FD919FA7-9812-4470-8E26-637937D36D83.jpg","Thumbnail Image")</f>
      </c>
      <c r="V782" s="0">
        <f>HYPERLINK("https://ec-qa-storage.kldlms.com/ItemGallery/08DCFA77-AFF0-46C3-873E-EC0EB08D9EA6/2885AB7A-9A58-4562-8692-609D3534D482.jpg","Gallery Image ")</f>
      </c>
      <c r="W782" s="0" t="s">
        <v>22</v>
      </c>
    </row>
    <row r="783">
      <c r="P783" s="0" t="s">
        <v>527</v>
      </c>
      <c r="Q783" s="0" t="s">
        <v>3228</v>
      </c>
      <c r="R783" s="0" t="s">
        <v>3226</v>
      </c>
      <c r="S783" s="0" t="s">
        <v>32</v>
      </c>
      <c r="T783" s="0">
        <f>HYPERLINK("https://ec-qa-storage.kldlms.com/ItemVariation/08DCFA77-AFF0-46C3-873E-EC0EB08D9EA6/FD49C95B-4A8E-4E01-8032-3D420F568AFA.jpg","Variant Image")</f>
      </c>
    </row>
    <row r="784">
      <c r="A784" s="0" t="s">
        <v>3230</v>
      </c>
      <c r="B784" s="0" t="s">
        <v>3230</v>
      </c>
      <c r="C784" s="0" t="s">
        <v>3231</v>
      </c>
      <c r="D784" s="0" t="s">
        <v>27</v>
      </c>
      <c r="E784" s="0" t="s">
        <v>3127</v>
      </c>
      <c r="F784" s="0" t="s">
        <v>557</v>
      </c>
      <c r="G784" s="0" t="s">
        <v>3230</v>
      </c>
      <c r="H784" s="0" t="s">
        <v>3230</v>
      </c>
      <c r="I784" s="0" t="s">
        <v>615</v>
      </c>
      <c r="J784" s="0" t="s">
        <v>615</v>
      </c>
      <c r="K784" s="0" t="s">
        <v>3232</v>
      </c>
      <c r="L784" s="0" t="s">
        <v>32</v>
      </c>
      <c r="M784" s="0" t="s">
        <v>33</v>
      </c>
      <c r="N784" s="0" t="s">
        <v>110</v>
      </c>
      <c r="O784" s="0" t="s">
        <v>35</v>
      </c>
      <c r="P784" s="0" t="s">
        <v>39</v>
      </c>
      <c r="Q784" s="0" t="s">
        <v>3233</v>
      </c>
      <c r="R784" s="0" t="s">
        <v>3231</v>
      </c>
      <c r="S784" s="0" t="s">
        <v>110</v>
      </c>
      <c r="T784" s="0">
        <f>HYPERLINK("https://storage.sslt.ae/ItemVariation/08DCFA77-B04C-4141-8134-A4518173EAD1/1CEBFE00-29BE-40AA-AE1E-BC26042B2209.png","Variant Image")</f>
      </c>
      <c r="U784" s="0">
        <f>HYPERLINK("https://ec-qa-storage.kldlms.com/Item/08DCFA77-B04C-4141-8134-A4518173EAD1/CCDD53F7-D2F1-4102-BC49-590BC902CD9B.png","Thumbnail Image")</f>
      </c>
      <c r="V784" s="0">
        <f>HYPERLINK("https://ec-qa-storage.kldlms.com/ItemGallery/08DCFA77-B04C-4141-8134-A4518173EAD1/789E5193-B877-4D6B-A31B-5E40B311B020.png","Gallery Image ")</f>
      </c>
      <c r="W784" s="0" t="s">
        <v>22</v>
      </c>
      <c r="X784" s="0" t="s">
        <v>3234</v>
      </c>
    </row>
    <row r="785">
      <c r="A785" s="0" t="s">
        <v>3235</v>
      </c>
      <c r="B785" s="0" t="s">
        <v>3235</v>
      </c>
      <c r="C785" s="0" t="s">
        <v>3236</v>
      </c>
      <c r="D785" s="0" t="s">
        <v>27</v>
      </c>
      <c r="E785" s="0" t="s">
        <v>3155</v>
      </c>
      <c r="F785" s="0" t="s">
        <v>3137</v>
      </c>
      <c r="G785" s="0" t="s">
        <v>3235</v>
      </c>
      <c r="H785" s="0" t="s">
        <v>3235</v>
      </c>
      <c r="I785" s="0" t="s">
        <v>3237</v>
      </c>
      <c r="J785" s="0" t="s">
        <v>3237</v>
      </c>
      <c r="K785" s="0" t="s">
        <v>3238</v>
      </c>
      <c r="L785" s="0" t="s">
        <v>32</v>
      </c>
      <c r="M785" s="0" t="s">
        <v>61</v>
      </c>
      <c r="N785" s="0" t="s">
        <v>110</v>
      </c>
      <c r="O785" s="0" t="s">
        <v>35</v>
      </c>
      <c r="P785" s="0" t="s">
        <v>39</v>
      </c>
      <c r="Q785" s="0" t="s">
        <v>3239</v>
      </c>
      <c r="R785" s="0" t="s">
        <v>3236</v>
      </c>
      <c r="S785" s="0" t="s">
        <v>110</v>
      </c>
      <c r="T785" s="0">
        <f>HYPERLINK("https://storage.sslt.ae/ItemVariation/08DCFA77-B0A8-42BC-828A-2CB2CFA91C3E/3E22ABDB-ED58-4F7A-A5D3-608EDC980441.png","Variant Image")</f>
      </c>
      <c r="U785" s="0">
        <f>HYPERLINK("https://ec-qa-storage.kldlms.com/Item/08DCFA77-B0A8-42BC-828A-2CB2CFA91C3E/C7F44FE0-8D4F-46FE-8AE1-5852588F380E.jpg","Thumbnail Image")</f>
      </c>
      <c r="V785" s="0">
        <f>HYPERLINK("https://ec-qa-storage.kldlms.com/ItemGallery/08DCFA77-B0A8-42BC-828A-2CB2CFA91C3E/86E08106-6427-4428-B2E1-457CE69B1094.jpg","Gallery Image ")</f>
      </c>
      <c r="W785" s="0" t="s">
        <v>22</v>
      </c>
    </row>
    <row r="786">
      <c r="P786" s="0" t="s">
        <v>593</v>
      </c>
      <c r="Q786" s="0" t="s">
        <v>3238</v>
      </c>
      <c r="R786" s="0" t="s">
        <v>3236</v>
      </c>
      <c r="S786" s="0" t="s">
        <v>32</v>
      </c>
      <c r="T786" s="0">
        <f>HYPERLINK("https://ec-qa-storage.kldlms.com/ItemVariation/08DCFA77-B0A8-42BC-828A-2CB2CFA91C3E/06A45210-EA10-4791-AF1F-F6AC5BC257C1.jpg","Variant Image")</f>
      </c>
    </row>
    <row r="787">
      <c r="A787" s="0" t="s">
        <v>3240</v>
      </c>
      <c r="B787" s="0" t="s">
        <v>3240</v>
      </c>
      <c r="C787" s="0" t="s">
        <v>3241</v>
      </c>
      <c r="D787" s="0" t="s">
        <v>27</v>
      </c>
      <c r="E787" s="0" t="s">
        <v>3127</v>
      </c>
      <c r="F787" s="0" t="s">
        <v>557</v>
      </c>
      <c r="G787" s="0" t="s">
        <v>3240</v>
      </c>
      <c r="H787" s="0" t="s">
        <v>3240</v>
      </c>
      <c r="I787" s="0" t="s">
        <v>615</v>
      </c>
      <c r="J787" s="0" t="s">
        <v>615</v>
      </c>
      <c r="K787" s="0" t="s">
        <v>3242</v>
      </c>
      <c r="L787" s="0" t="s">
        <v>32</v>
      </c>
      <c r="M787" s="0" t="s">
        <v>33</v>
      </c>
      <c r="N787" s="0" t="s">
        <v>3243</v>
      </c>
      <c r="O787" s="0" t="s">
        <v>35</v>
      </c>
      <c r="P787" s="0" t="s">
        <v>39</v>
      </c>
      <c r="Q787" s="0" t="s">
        <v>3244</v>
      </c>
      <c r="R787" s="0" t="s">
        <v>3241</v>
      </c>
      <c r="S787" s="0" t="s">
        <v>3243</v>
      </c>
      <c r="T787" s="0">
        <f>HYPERLINK("https://storage.sslt.ae/ItemVariation/08DCFA77-B103-4EAD-88FD-C902984F4ADA/6F177F92-D889-4B97-8296-54C68F82F18E.png","Variant Image")</f>
      </c>
      <c r="U787" s="0">
        <f>HYPERLINK("https://ec-qa-storage.kldlms.com/Item/08DCFA77-B103-4EAD-88FD-C902984F4ADA/E64F2F0D-7FF3-4F1A-9D61-F3445FC821FE.png","Thumbnail Image")</f>
      </c>
      <c r="V787" s="0">
        <f>HYPERLINK("https://ec-qa-storage.kldlms.com/ItemGallery/08DCFA77-B103-4EAD-88FD-C902984F4ADA/C179580D-54BA-443C-83B3-4CC05773EAE6.png","Gallery Image ")</f>
      </c>
      <c r="W787" s="0" t="s">
        <v>22</v>
      </c>
      <c r="X787" s="0" t="s">
        <v>3245</v>
      </c>
    </row>
    <row r="788">
      <c r="A788" s="0" t="s">
        <v>3240</v>
      </c>
      <c r="B788" s="0" t="s">
        <v>3240</v>
      </c>
      <c r="C788" s="0" t="s">
        <v>3246</v>
      </c>
      <c r="D788" s="0" t="s">
        <v>27</v>
      </c>
      <c r="E788" s="0" t="s">
        <v>3155</v>
      </c>
      <c r="F788" s="0" t="s">
        <v>3137</v>
      </c>
      <c r="G788" s="0" t="s">
        <v>3240</v>
      </c>
      <c r="H788" s="0" t="s">
        <v>3240</v>
      </c>
      <c r="I788" s="0" t="s">
        <v>3247</v>
      </c>
      <c r="J788" s="0" t="s">
        <v>3247</v>
      </c>
      <c r="K788" s="0" t="s">
        <v>3248</v>
      </c>
      <c r="L788" s="0" t="s">
        <v>32</v>
      </c>
      <c r="M788" s="0" t="s">
        <v>61</v>
      </c>
      <c r="N788" s="0" t="s">
        <v>3249</v>
      </c>
      <c r="O788" s="0" t="s">
        <v>35</v>
      </c>
      <c r="P788" s="0" t="s">
        <v>39</v>
      </c>
      <c r="Q788" s="0" t="s">
        <v>3250</v>
      </c>
      <c r="R788" s="0" t="s">
        <v>3246</v>
      </c>
      <c r="S788" s="0" t="s">
        <v>3249</v>
      </c>
      <c r="T788" s="0">
        <f>HYPERLINK("https://storage.sslt.ae/ItemVariation/08DCFA77-B160-4F06-8B4F-E32364C4D7BF/184F9CB8-968D-4020-8266-762FA093B835.png","Variant Image")</f>
      </c>
      <c r="U788" s="0">
        <f>HYPERLINK("https://ec-qa-storage.kldlms.com/Item/08DCFA77-B160-4F06-8B4F-E32364C4D7BF/1ADA00D8-FDAA-4F32-BDAA-A2C7091E9524.png","Thumbnail Image")</f>
      </c>
      <c r="V788" s="0">
        <f>HYPERLINK("https://ec-qa-storage.kldlms.com/ItemGallery/08DCFA77-B160-4F06-8B4F-E32364C4D7BF/A96CCBA5-7DC1-46A3-8F07-F9D64411DE67.png","Gallery Image ")</f>
      </c>
      <c r="W788" s="0" t="s">
        <v>22</v>
      </c>
    </row>
    <row r="789">
      <c r="P789" s="0" t="s">
        <v>527</v>
      </c>
      <c r="Q789" s="0" t="s">
        <v>3248</v>
      </c>
      <c r="R789" s="0" t="s">
        <v>3246</v>
      </c>
      <c r="S789" s="0" t="s">
        <v>32</v>
      </c>
      <c r="T789" s="0">
        <f>HYPERLINK("https://ec-qa-storage.kldlms.com/ItemVariation/08DCFA77-B160-4F06-8B4F-E32364C4D7BF/FD1CF99F-F7B6-41C8-9CEE-F747BE2FB04B.png","Variant Image")</f>
      </c>
    </row>
    <row r="790">
      <c r="P790" s="0" t="s">
        <v>593</v>
      </c>
      <c r="Q790" s="0" t="s">
        <v>3248</v>
      </c>
      <c r="R790" s="0" t="s">
        <v>3241</v>
      </c>
      <c r="S790" s="0" t="s">
        <v>32</v>
      </c>
      <c r="T790" s="0">
        <f>HYPERLINK("https://ec-qa-storage.kldlms.com/ItemVariation/08DCFA77-B160-4F06-8B4F-E32364C4D7BF/C3DBC21F-F43C-491A-A6EC-A2B0D9FCBC19.jpeg","Variant Image")</f>
      </c>
    </row>
    <row r="791">
      <c r="A791" s="0" t="s">
        <v>3251</v>
      </c>
      <c r="B791" s="0" t="s">
        <v>3251</v>
      </c>
      <c r="C791" s="0" t="s">
        <v>3252</v>
      </c>
      <c r="D791" s="0" t="s">
        <v>27</v>
      </c>
      <c r="E791" s="0" t="s">
        <v>3127</v>
      </c>
      <c r="F791" s="0" t="s">
        <v>557</v>
      </c>
      <c r="G791" s="0" t="s">
        <v>3251</v>
      </c>
      <c r="H791" s="0" t="s">
        <v>3251</v>
      </c>
      <c r="I791" s="0" t="s">
        <v>615</v>
      </c>
      <c r="J791" s="0" t="s">
        <v>615</v>
      </c>
      <c r="K791" s="0" t="s">
        <v>3253</v>
      </c>
      <c r="L791" s="0" t="s">
        <v>32</v>
      </c>
      <c r="M791" s="0" t="s">
        <v>33</v>
      </c>
      <c r="N791" s="0" t="s">
        <v>140</v>
      </c>
      <c r="O791" s="0" t="s">
        <v>35</v>
      </c>
      <c r="P791" s="0" t="s">
        <v>39</v>
      </c>
      <c r="Q791" s="0" t="s">
        <v>3254</v>
      </c>
      <c r="R791" s="0" t="s">
        <v>3252</v>
      </c>
      <c r="S791" s="0" t="s">
        <v>140</v>
      </c>
      <c r="T791" s="0">
        <f>HYPERLINK("https://storage.sslt.ae/ItemVariation/08DCFA77-B1BB-464C-8DBB-48DCF334669C/E4317067-967F-404F-9568-FD08A5C1C17B.png","Variant Image")</f>
      </c>
      <c r="U791" s="0">
        <f>HYPERLINK("https://ec-qa-storage.kldlms.com/Item/08DCFA77-B1BB-464C-8DBB-48DCF334669C/555D123D-CD7C-492D-BA04-C06E8CA4F853.png","Thumbnail Image")</f>
      </c>
      <c r="V791" s="0">
        <f>HYPERLINK("https://ec-qa-storage.kldlms.com/ItemGallery/08DCFA77-B1BB-464C-8DBB-48DCF334669C/B28C4DB5-CF1A-4752-932A-87C8F867DC23.png","Gallery Image ")</f>
      </c>
      <c r="W791" s="0" t="s">
        <v>22</v>
      </c>
      <c r="X791" s="0" t="s">
        <v>3255</v>
      </c>
    </row>
    <row r="792">
      <c r="A792" s="0" t="s">
        <v>3256</v>
      </c>
      <c r="B792" s="0" t="s">
        <v>3256</v>
      </c>
      <c r="C792" s="0" t="s">
        <v>3257</v>
      </c>
      <c r="D792" s="0" t="s">
        <v>27</v>
      </c>
      <c r="E792" s="0" t="s">
        <v>3127</v>
      </c>
      <c r="F792" s="0" t="s">
        <v>557</v>
      </c>
      <c r="G792" s="0" t="s">
        <v>3256</v>
      </c>
      <c r="H792" s="0" t="s">
        <v>3256</v>
      </c>
      <c r="I792" s="0" t="s">
        <v>615</v>
      </c>
      <c r="J792" s="0" t="s">
        <v>615</v>
      </c>
      <c r="K792" s="0" t="s">
        <v>3258</v>
      </c>
      <c r="L792" s="0" t="s">
        <v>32</v>
      </c>
      <c r="M792" s="0" t="s">
        <v>33</v>
      </c>
      <c r="N792" s="0" t="s">
        <v>337</v>
      </c>
      <c r="O792" s="0" t="s">
        <v>35</v>
      </c>
      <c r="P792" s="0" t="s">
        <v>39</v>
      </c>
      <c r="Q792" s="0" t="s">
        <v>3259</v>
      </c>
      <c r="R792" s="0" t="s">
        <v>3257</v>
      </c>
      <c r="S792" s="0" t="s">
        <v>337</v>
      </c>
      <c r="T792" s="0">
        <f>HYPERLINK("https://storage.sslt.ae/ItemVariation/08DCFA77-B217-4893-8256-2B3DD38E1E92/D433BBBF-BEB5-413C-90CE-5130DECBBA8F.png","Variant Image")</f>
      </c>
      <c r="U792" s="0">
        <f>HYPERLINK("https://ec-qa-storage.kldlms.com/Item/08DCFA77-B217-4893-8256-2B3DD38E1E92/D3565EFA-8C9A-4F2C-8415-95AAD2BAC571.png","Thumbnail Image")</f>
      </c>
      <c r="V792" s="0">
        <f>HYPERLINK("https://ec-qa-storage.kldlms.com/ItemGallery/08DCFA77-B217-4893-8256-2B3DD38E1E92/91B5DD11-8204-4C20-A49B-3AA3B23E45B9.png","Gallery Image ")</f>
      </c>
      <c r="W792" s="0" t="s">
        <v>22</v>
      </c>
      <c r="X792" s="0" t="s">
        <v>3260</v>
      </c>
    </row>
    <row r="793">
      <c r="A793" s="0" t="s">
        <v>3261</v>
      </c>
      <c r="B793" s="0" t="s">
        <v>3261</v>
      </c>
      <c r="C793" s="0" t="s">
        <v>3262</v>
      </c>
      <c r="D793" s="0" t="s">
        <v>27</v>
      </c>
      <c r="E793" s="0" t="s">
        <v>3127</v>
      </c>
      <c r="F793" s="0" t="s">
        <v>557</v>
      </c>
      <c r="G793" s="0" t="s">
        <v>3261</v>
      </c>
      <c r="H793" s="0" t="s">
        <v>3261</v>
      </c>
      <c r="I793" s="0" t="s">
        <v>615</v>
      </c>
      <c r="J793" s="0" t="s">
        <v>615</v>
      </c>
      <c r="K793" s="0" t="s">
        <v>3263</v>
      </c>
      <c r="L793" s="0" t="s">
        <v>32</v>
      </c>
      <c r="M793" s="0" t="s">
        <v>33</v>
      </c>
      <c r="N793" s="0" t="s">
        <v>512</v>
      </c>
      <c r="O793" s="0" t="s">
        <v>35</v>
      </c>
      <c r="P793" s="0" t="s">
        <v>39</v>
      </c>
      <c r="Q793" s="0" t="s">
        <v>3264</v>
      </c>
      <c r="R793" s="0" t="s">
        <v>3262</v>
      </c>
      <c r="S793" s="0" t="s">
        <v>512</v>
      </c>
      <c r="T793" s="0">
        <f>HYPERLINK("https://storage.sslt.ae/ItemVariation/08DCFA77-B34A-463D-80DB-7D67588841A6/DE4B07D9-12F3-449E-B259-2F7995B1730D.png","Variant Image")</f>
      </c>
      <c r="U793" s="0">
        <f>HYPERLINK("https://ec-qa-storage.kldlms.com/Item/08DCFA77-B34A-463D-80DB-7D67588841A6/84E0D5A8-F1A7-462C-ADE9-6F39CE556730.png","Thumbnail Image")</f>
      </c>
      <c r="V793" s="0">
        <f>HYPERLINK("https://ec-qa-storage.kldlms.com/ItemGallery/08DCFA77-B34A-463D-80DB-7D67588841A6/4F851774-8B71-4A4C-8125-A21C69ED8817.png","Gallery Image ")</f>
      </c>
      <c r="W793" s="0" t="s">
        <v>22</v>
      </c>
      <c r="X793" s="0" t="s">
        <v>3265</v>
      </c>
    </row>
    <row r="794">
      <c r="A794" s="0" t="s">
        <v>3266</v>
      </c>
      <c r="B794" s="0" t="s">
        <v>3266</v>
      </c>
      <c r="C794" s="0" t="s">
        <v>3267</v>
      </c>
      <c r="D794" s="0" t="s">
        <v>27</v>
      </c>
      <c r="E794" s="0" t="s">
        <v>3127</v>
      </c>
      <c r="F794" s="0" t="s">
        <v>557</v>
      </c>
      <c r="G794" s="0" t="s">
        <v>3266</v>
      </c>
      <c r="H794" s="0" t="s">
        <v>3266</v>
      </c>
      <c r="I794" s="0" t="s">
        <v>615</v>
      </c>
      <c r="J794" s="0" t="s">
        <v>615</v>
      </c>
      <c r="K794" s="0" t="s">
        <v>1206</v>
      </c>
      <c r="L794" s="0" t="s">
        <v>32</v>
      </c>
      <c r="M794" s="0" t="s">
        <v>33</v>
      </c>
      <c r="N794" s="0" t="s">
        <v>142</v>
      </c>
      <c r="O794" s="0" t="s">
        <v>35</v>
      </c>
      <c r="P794" s="0" t="s">
        <v>39</v>
      </c>
      <c r="Q794" s="0" t="s">
        <v>3268</v>
      </c>
      <c r="R794" s="0" t="s">
        <v>3267</v>
      </c>
      <c r="S794" s="0" t="s">
        <v>142</v>
      </c>
      <c r="T794" s="0">
        <f>HYPERLINK("https://storage.sslt.ae/ItemVariation/08DCFA77-B402-48F0-8B6D-C1E39C7D7230/B776A522-A26A-4C5B-9085-A33209279351.png","Variant Image")</f>
      </c>
      <c r="U794" s="0">
        <f>HYPERLINK("https://ec-qa-storage.kldlms.com/Item/08DCFA77-B402-48F0-8B6D-C1E39C7D7230/C5F6DAD4-019F-4073-9F86-BB6452C0A521.png","Thumbnail Image")</f>
      </c>
      <c r="V794" s="0">
        <f>HYPERLINK("https://ec-qa-storage.kldlms.com/ItemGallery/08DCFA77-B402-48F0-8B6D-C1E39C7D7230/A78728A7-AFFB-4B22-ABCF-FDC1C749BAAD.png","Gallery Image ")</f>
      </c>
      <c r="W794" s="0" t="s">
        <v>22</v>
      </c>
      <c r="X794" s="0" t="s">
        <v>3269</v>
      </c>
    </row>
    <row r="795">
      <c r="A795" s="0" t="s">
        <v>3270</v>
      </c>
      <c r="B795" s="0" t="s">
        <v>3270</v>
      </c>
      <c r="C795" s="0" t="s">
        <v>3271</v>
      </c>
      <c r="D795" s="0" t="s">
        <v>27</v>
      </c>
      <c r="E795" s="0" t="s">
        <v>3127</v>
      </c>
      <c r="F795" s="0" t="s">
        <v>557</v>
      </c>
      <c r="G795" s="0" t="s">
        <v>3270</v>
      </c>
      <c r="H795" s="0" t="s">
        <v>3270</v>
      </c>
      <c r="I795" s="0" t="s">
        <v>615</v>
      </c>
      <c r="J795" s="0" t="s">
        <v>615</v>
      </c>
      <c r="K795" s="0" t="s">
        <v>3272</v>
      </c>
      <c r="L795" s="0" t="s">
        <v>32</v>
      </c>
      <c r="M795" s="0" t="s">
        <v>33</v>
      </c>
      <c r="N795" s="0" t="s">
        <v>647</v>
      </c>
      <c r="O795" s="0" t="s">
        <v>35</v>
      </c>
      <c r="P795" s="0" t="s">
        <v>39</v>
      </c>
      <c r="Q795" s="0" t="s">
        <v>3273</v>
      </c>
      <c r="R795" s="0" t="s">
        <v>3271</v>
      </c>
      <c r="S795" s="0" t="s">
        <v>647</v>
      </c>
      <c r="T795" s="0">
        <f>HYPERLINK("https://storage.sslt.ae/ItemVariation/08DCFA77-B45D-4CC8-874B-2AC85CA52D7B/FF3358C3-ADD8-40C8-9EDB-CA73C219BFDE.png","Variant Image")</f>
      </c>
      <c r="U795" s="0">
        <f>HYPERLINK("https://ec-qa-storage.kldlms.com/Item/08DCFA77-B45D-4CC8-874B-2AC85CA52D7B/14392252-6BB2-435E-9171-524A87956C25.png","Thumbnail Image")</f>
      </c>
      <c r="V795" s="0">
        <f>HYPERLINK("https://ec-qa-storage.kldlms.com/ItemGallery/08DCFA77-B45D-4CC8-874B-2AC85CA52D7B/0B7DDD69-589D-4CAE-A382-552447B87738.png","Gallery Image ")</f>
      </c>
      <c r="W795" s="0" t="s">
        <v>22</v>
      </c>
      <c r="X795" s="0" t="s">
        <v>3274</v>
      </c>
    </row>
    <row r="796">
      <c r="A796" s="0" t="s">
        <v>3270</v>
      </c>
      <c r="B796" s="0" t="s">
        <v>3270</v>
      </c>
      <c r="C796" s="0" t="s">
        <v>3275</v>
      </c>
      <c r="D796" s="0" t="s">
        <v>27</v>
      </c>
      <c r="E796" s="0" t="s">
        <v>3155</v>
      </c>
      <c r="F796" s="0" t="s">
        <v>3137</v>
      </c>
      <c r="G796" s="0" t="s">
        <v>3270</v>
      </c>
      <c r="H796" s="0" t="s">
        <v>3270</v>
      </c>
      <c r="I796" s="0" t="s">
        <v>3276</v>
      </c>
      <c r="J796" s="0" t="s">
        <v>3276</v>
      </c>
      <c r="K796" s="0" t="s">
        <v>3277</v>
      </c>
      <c r="L796" s="0" t="s">
        <v>32</v>
      </c>
      <c r="M796" s="0" t="s">
        <v>61</v>
      </c>
      <c r="N796" s="0" t="s">
        <v>1915</v>
      </c>
      <c r="O796" s="0" t="s">
        <v>35</v>
      </c>
      <c r="P796" s="0" t="s">
        <v>39</v>
      </c>
      <c r="Q796" s="0" t="s">
        <v>3278</v>
      </c>
      <c r="R796" s="0" t="s">
        <v>3275</v>
      </c>
      <c r="S796" s="0" t="s">
        <v>1915</v>
      </c>
      <c r="T796" s="0">
        <f>HYPERLINK("https://storage.sslt.ae/ItemVariation/08DCFA77-B4BB-44D9-88EB-45528E0E39E3/7B29E549-5005-4EDE-A91F-FDE6E1989024.png","Variant Image")</f>
      </c>
      <c r="U796" s="0">
        <f>HYPERLINK("https://ec-qa-storage.kldlms.com/Item/08DCFA77-B4BB-44D9-88EB-45528E0E39E3/21ABF031-072C-4777-9D9C-C3917663A78C.jpg","Thumbnail Image")</f>
      </c>
      <c r="V796" s="0">
        <f>HYPERLINK("https://ec-qa-storage.kldlms.com/ItemGallery/08DCFA77-B4BB-44D9-88EB-45528E0E39E3/A750F58A-F004-474B-AD59-D89010F175B7.jpg","Gallery Image ")</f>
      </c>
      <c r="W796" s="0" t="s">
        <v>22</v>
      </c>
    </row>
    <row r="797">
      <c r="P797" s="0" t="s">
        <v>527</v>
      </c>
      <c r="Q797" s="0" t="s">
        <v>3277</v>
      </c>
      <c r="R797" s="0" t="s">
        <v>3275</v>
      </c>
      <c r="S797" s="0" t="s">
        <v>32</v>
      </c>
      <c r="T797" s="0">
        <f>HYPERLINK("https://ec-qa-storage.kldlms.com/ItemVariation/08DCFA77-B4BB-44D9-88EB-45528E0E39E3/06C32528-4A37-4BCC-A70A-0ED2CCE326A6.jpg","Variant Image")</f>
      </c>
    </row>
    <row r="798">
      <c r="A798" s="0" t="s">
        <v>3279</v>
      </c>
      <c r="B798" s="0" t="s">
        <v>3279</v>
      </c>
      <c r="C798" s="0" t="s">
        <v>3280</v>
      </c>
      <c r="D798" s="0" t="s">
        <v>27</v>
      </c>
      <c r="E798" s="0" t="s">
        <v>3127</v>
      </c>
      <c r="F798" s="0" t="s">
        <v>557</v>
      </c>
      <c r="G798" s="0" t="s">
        <v>3279</v>
      </c>
      <c r="H798" s="0" t="s">
        <v>3279</v>
      </c>
      <c r="I798" s="0" t="s">
        <v>615</v>
      </c>
      <c r="J798" s="0" t="s">
        <v>615</v>
      </c>
      <c r="K798" s="0" t="s">
        <v>3281</v>
      </c>
      <c r="L798" s="0" t="s">
        <v>32</v>
      </c>
      <c r="M798" s="0" t="s">
        <v>33</v>
      </c>
      <c r="N798" s="0" t="s">
        <v>1030</v>
      </c>
      <c r="O798" s="0" t="s">
        <v>35</v>
      </c>
      <c r="P798" s="0" t="s">
        <v>39</v>
      </c>
      <c r="Q798" s="0" t="s">
        <v>3282</v>
      </c>
      <c r="R798" s="0" t="s">
        <v>3280</v>
      </c>
      <c r="S798" s="0" t="s">
        <v>1030</v>
      </c>
      <c r="T798" s="0">
        <f>HYPERLINK("https://storage.sslt.ae/ItemVariation/08DCFA77-B517-41DA-80E0-542136864C3C/3392867A-809C-4892-9335-212A512F665F.png","Variant Image")</f>
      </c>
      <c r="U798" s="0">
        <f>HYPERLINK("https://ec-qa-storage.kldlms.com/Item/08DCFA77-B517-41DA-80E0-542136864C3C/22861D77-D801-4C2F-91AE-C7DC06C5A015.png","Thumbnail Image")</f>
      </c>
      <c r="V798" s="0">
        <f>HYPERLINK("https://ec-qa-storage.kldlms.com/ItemGallery/08DCFA77-B517-41DA-80E0-542136864C3C/9A54FB7F-461E-4716-ADB8-3528A7A85EBF.png","Gallery Image ")</f>
      </c>
      <c r="W798" s="0" t="s">
        <v>22</v>
      </c>
      <c r="X798" s="0" t="s">
        <v>3283</v>
      </c>
    </row>
    <row r="799">
      <c r="A799" s="0" t="s">
        <v>3284</v>
      </c>
      <c r="B799" s="0" t="s">
        <v>3284</v>
      </c>
      <c r="C799" s="0" t="s">
        <v>3285</v>
      </c>
      <c r="D799" s="0" t="s">
        <v>27</v>
      </c>
      <c r="E799" s="0" t="s">
        <v>3155</v>
      </c>
      <c r="F799" s="0" t="s">
        <v>3137</v>
      </c>
      <c r="G799" s="0" t="s">
        <v>3284</v>
      </c>
      <c r="H799" s="0" t="s">
        <v>3284</v>
      </c>
      <c r="I799" s="0" t="s">
        <v>3286</v>
      </c>
      <c r="J799" s="0" t="s">
        <v>3286</v>
      </c>
      <c r="K799" s="0" t="s">
        <v>3287</v>
      </c>
      <c r="L799" s="0" t="s">
        <v>32</v>
      </c>
      <c r="M799" s="0" t="s">
        <v>61</v>
      </c>
      <c r="N799" s="0" t="s">
        <v>164</v>
      </c>
      <c r="O799" s="0" t="s">
        <v>35</v>
      </c>
      <c r="P799" s="0" t="s">
        <v>39</v>
      </c>
      <c r="Q799" s="0" t="s">
        <v>3288</v>
      </c>
      <c r="R799" s="0" t="s">
        <v>3285</v>
      </c>
      <c r="S799" s="0" t="s">
        <v>164</v>
      </c>
      <c r="T799" s="0">
        <f>HYPERLINK("https://storage.sslt.ae/ItemVariation/08DCFA77-B5CF-45B1-8BDD-57D81760ECAA/2DD018F9-5076-4912-B873-AA95010C6D05.png","Variant Image")</f>
      </c>
      <c r="U799" s="0">
        <f>HYPERLINK("https://ec-qa-storage.kldlms.com/Item/08DCFA77-B5CF-45B1-8BDD-57D81760ECAA/0916B278-15C0-4F35-973D-71F021AF82C4.jpg","Thumbnail Image")</f>
      </c>
      <c r="V799" s="0">
        <f>HYPERLINK("https://ec-qa-storage.kldlms.com/ItemGallery/08DCFA77-B5CF-45B1-8BDD-57D81760ECAA/C0ADA778-C20F-456D-9285-9E59D3AD8D7F.jpg","Gallery Image ")</f>
      </c>
      <c r="W799" s="0" t="s">
        <v>22</v>
      </c>
    </row>
    <row r="800">
      <c r="P800" s="0" t="s">
        <v>527</v>
      </c>
      <c r="Q800" s="0" t="s">
        <v>3287</v>
      </c>
      <c r="R800" s="0" t="s">
        <v>3289</v>
      </c>
      <c r="S800" s="0" t="s">
        <v>32</v>
      </c>
      <c r="T800" s="0">
        <f>HYPERLINK("https://ec-qa-storage.kldlms.com/ItemVariation/08DCFA77-B5CF-45B1-8BDD-57D81760ECAA/8DC293F3-921A-4B6B-ABD1-5EACD0987296.jpg","Variant Image")</f>
      </c>
    </row>
    <row r="801">
      <c r="A801" s="0" t="s">
        <v>3284</v>
      </c>
      <c r="B801" s="0" t="s">
        <v>3284</v>
      </c>
      <c r="C801" s="0" t="s">
        <v>3289</v>
      </c>
      <c r="D801" s="0" t="s">
        <v>27</v>
      </c>
      <c r="E801" s="0" t="s">
        <v>3127</v>
      </c>
      <c r="F801" s="0" t="s">
        <v>557</v>
      </c>
      <c r="G801" s="0" t="s">
        <v>3284</v>
      </c>
      <c r="H801" s="0" t="s">
        <v>3284</v>
      </c>
      <c r="I801" s="0" t="s">
        <v>615</v>
      </c>
      <c r="J801" s="0" t="s">
        <v>615</v>
      </c>
      <c r="K801" s="0" t="s">
        <v>3290</v>
      </c>
      <c r="L801" s="0" t="s">
        <v>32</v>
      </c>
      <c r="M801" s="0" t="s">
        <v>33</v>
      </c>
      <c r="N801" s="0" t="s">
        <v>3291</v>
      </c>
      <c r="O801" s="0" t="s">
        <v>35</v>
      </c>
      <c r="P801" s="0" t="s">
        <v>39</v>
      </c>
      <c r="Q801" s="0" t="s">
        <v>3292</v>
      </c>
      <c r="R801" s="0" t="s">
        <v>3289</v>
      </c>
      <c r="S801" s="0" t="s">
        <v>3291</v>
      </c>
      <c r="T801" s="0">
        <f>HYPERLINK("https://storage.sslt.ae/ItemVariation/08DCFA77-B62B-4259-8B54-CC7413A62D8A/C68AC6D0-2C6F-485A-8145-E12DDB7ADEFB.png","Variant Image")</f>
      </c>
      <c r="U801" s="0">
        <f>HYPERLINK("https://ec-qa-storage.kldlms.com/Item/08DCFA77-B62B-4259-8B54-CC7413A62D8A/B6325193-F52A-4D02-955C-8364BBD4593F.png","Thumbnail Image")</f>
      </c>
      <c r="V801" s="0">
        <f>HYPERLINK("https://ec-qa-storage.kldlms.com/ItemGallery/08DCFA77-B62B-4259-8B54-CC7413A62D8A/CFDE7E02-9607-4D07-833B-9B4430F5DE2A.png","Gallery Image ")</f>
      </c>
      <c r="W801" s="0" t="s">
        <v>22</v>
      </c>
      <c r="X801" s="0" t="s">
        <v>3293</v>
      </c>
    </row>
    <row r="802">
      <c r="A802" s="0" t="s">
        <v>3294</v>
      </c>
      <c r="B802" s="0" t="s">
        <v>3294</v>
      </c>
      <c r="C802" s="0" t="s">
        <v>3295</v>
      </c>
      <c r="D802" s="0" t="s">
        <v>27</v>
      </c>
      <c r="E802" s="0" t="s">
        <v>3155</v>
      </c>
      <c r="F802" s="0" t="s">
        <v>3137</v>
      </c>
      <c r="G802" s="0" t="s">
        <v>3294</v>
      </c>
      <c r="H802" s="0" t="s">
        <v>3294</v>
      </c>
      <c r="I802" s="0" t="s">
        <v>3296</v>
      </c>
      <c r="J802" s="0" t="s">
        <v>3296</v>
      </c>
      <c r="K802" s="0" t="s">
        <v>3297</v>
      </c>
      <c r="L802" s="0" t="s">
        <v>32</v>
      </c>
      <c r="M802" s="0" t="s">
        <v>61</v>
      </c>
      <c r="N802" s="0" t="s">
        <v>337</v>
      </c>
      <c r="O802" s="0" t="s">
        <v>35</v>
      </c>
      <c r="P802" s="0" t="s">
        <v>39</v>
      </c>
      <c r="Q802" s="0" t="s">
        <v>3298</v>
      </c>
      <c r="R802" s="0" t="s">
        <v>3295</v>
      </c>
      <c r="S802" s="0" t="s">
        <v>337</v>
      </c>
      <c r="T802" s="0">
        <f>HYPERLINK("https://storage.sslt.ae/ItemVariation/08DCFA77-B689-46C6-855B-87EC05EFA58B/D7CD70DB-89DC-4B76-B9A5-CCB726AB6EA6.png","Variant Image")</f>
      </c>
      <c r="U802" s="0">
        <f>HYPERLINK("https://ec-qa-storage.kldlms.com/Item/08DCFA77-B689-46C6-855B-87EC05EFA58B/2FF04DFB-9D2D-42D0-8C37-A96BAFAD4986.png","Thumbnail Image")</f>
      </c>
      <c r="V802" s="0">
        <f>HYPERLINK("https://ec-qa-storage.kldlms.com/ItemGallery/08DCFA77-B689-46C6-855B-87EC05EFA58B/B092D3CF-C506-43B7-9485-0DECE0BF5B18.png","Gallery Image ")</f>
      </c>
      <c r="W802" s="0" t="s">
        <v>22</v>
      </c>
    </row>
    <row r="803">
      <c r="P803" s="0" t="s">
        <v>527</v>
      </c>
      <c r="Q803" s="0" t="s">
        <v>3297</v>
      </c>
      <c r="R803" s="0" t="s">
        <v>3295</v>
      </c>
      <c r="S803" s="0" t="s">
        <v>32</v>
      </c>
      <c r="T803" s="0">
        <f>HYPERLINK("https://ec-qa-storage.kldlms.com/ItemVariation/08DCFA77-B689-46C6-855B-87EC05EFA58B/9729EE65-EB46-4236-9E8E-468B1F51DC2F.png","Variant Image")</f>
      </c>
    </row>
    <row r="804">
      <c r="A804" s="0" t="s">
        <v>3299</v>
      </c>
      <c r="B804" s="0" t="s">
        <v>3299</v>
      </c>
      <c r="C804" s="0" t="s">
        <v>3300</v>
      </c>
      <c r="D804" s="0" t="s">
        <v>27</v>
      </c>
      <c r="E804" s="0" t="s">
        <v>3127</v>
      </c>
      <c r="F804" s="0" t="s">
        <v>557</v>
      </c>
      <c r="G804" s="0" t="s">
        <v>3299</v>
      </c>
      <c r="H804" s="0" t="s">
        <v>3299</v>
      </c>
      <c r="I804" s="0" t="s">
        <v>615</v>
      </c>
      <c r="J804" s="0" t="s">
        <v>615</v>
      </c>
      <c r="K804" s="0" t="s">
        <v>602</v>
      </c>
      <c r="L804" s="0" t="s">
        <v>32</v>
      </c>
      <c r="M804" s="0" t="s">
        <v>33</v>
      </c>
      <c r="N804" s="0" t="s">
        <v>209</v>
      </c>
      <c r="O804" s="0" t="s">
        <v>35</v>
      </c>
      <c r="P804" s="0" t="s">
        <v>39</v>
      </c>
      <c r="Q804" s="0" t="s">
        <v>3301</v>
      </c>
      <c r="R804" s="0" t="s">
        <v>3300</v>
      </c>
      <c r="S804" s="0" t="s">
        <v>209</v>
      </c>
      <c r="T804" s="0">
        <f>HYPERLINK("https://storage.sslt.ae/ItemVariation/08DCFA77-B79C-44D4-8D56-281A67EA0F12/2F0D5BB8-381A-463A-8511-F8F29EE1702F.png","Variant Image")</f>
      </c>
      <c r="U804" s="0">
        <f>HYPERLINK("https://ec-qa-storage.kldlms.com/Item/08DCFA77-B79C-44D4-8D56-281A67EA0F12/B33BFDD7-92B0-4BF1-9B63-E72E3B6A1C44.png","Thumbnail Image")</f>
      </c>
      <c r="V804" s="0">
        <f>HYPERLINK("https://ec-qa-storage.kldlms.com/ItemGallery/08DCFA77-B79C-44D4-8D56-281A67EA0F12/460E2F61-D492-4DE4-9B89-36BADFEA3E2B.png","Gallery Image ")</f>
      </c>
      <c r="W804" s="0" t="s">
        <v>22</v>
      </c>
      <c r="X804" s="0" t="s">
        <v>3302</v>
      </c>
    </row>
    <row r="805">
      <c r="A805" s="0" t="s">
        <v>3303</v>
      </c>
      <c r="B805" s="0" t="s">
        <v>3303</v>
      </c>
      <c r="C805" s="0" t="s">
        <v>3304</v>
      </c>
      <c r="D805" s="0" t="s">
        <v>27</v>
      </c>
      <c r="E805" s="0" t="s">
        <v>3127</v>
      </c>
      <c r="F805" s="0" t="s">
        <v>557</v>
      </c>
      <c r="G805" s="0" t="s">
        <v>3303</v>
      </c>
      <c r="H805" s="0" t="s">
        <v>3303</v>
      </c>
      <c r="I805" s="0" t="s">
        <v>615</v>
      </c>
      <c r="J805" s="0" t="s">
        <v>615</v>
      </c>
      <c r="K805" s="0" t="s">
        <v>736</v>
      </c>
      <c r="L805" s="0" t="s">
        <v>32</v>
      </c>
      <c r="M805" s="0" t="s">
        <v>33</v>
      </c>
      <c r="N805" s="0" t="s">
        <v>851</v>
      </c>
      <c r="O805" s="0" t="s">
        <v>35</v>
      </c>
      <c r="P805" s="0" t="s">
        <v>39</v>
      </c>
      <c r="Q805" s="0" t="s">
        <v>3305</v>
      </c>
      <c r="R805" s="0" t="s">
        <v>3304</v>
      </c>
      <c r="S805" s="0" t="s">
        <v>851</v>
      </c>
      <c r="T805" s="0">
        <f>HYPERLINK("https://storage.sslt.ae/ItemVariation/08DCFA77-B7F9-4C0E-84FB-F2D47353881B/D2F47D3E-87FA-4384-8E72-73F6671FE51C.png","Variant Image")</f>
      </c>
      <c r="U805" s="0">
        <f>HYPERLINK("https://ec-qa-storage.kldlms.com/Item/08DCFA77-B7F9-4C0E-84FB-F2D47353881B/DF4F78A7-182B-460F-9C85-E070514715AF.png","Thumbnail Image")</f>
      </c>
      <c r="V805" s="0">
        <f>HYPERLINK("https://ec-qa-storage.kldlms.com/ItemGallery/08DCFA77-B7F9-4C0E-84FB-F2D47353881B/A5D80CC5-DF26-4DD8-9CEB-1E4489BA704E.png","Gallery Image ")</f>
      </c>
      <c r="W805" s="0" t="s">
        <v>22</v>
      </c>
      <c r="X805" s="0" t="s">
        <v>3306</v>
      </c>
    </row>
    <row r="806">
      <c r="A806" s="0" t="s">
        <v>3299</v>
      </c>
      <c r="B806" s="0" t="s">
        <v>3299</v>
      </c>
      <c r="C806" s="0" t="s">
        <v>3307</v>
      </c>
      <c r="D806" s="0" t="s">
        <v>27</v>
      </c>
      <c r="E806" s="0" t="s">
        <v>3155</v>
      </c>
      <c r="F806" s="0" t="s">
        <v>3137</v>
      </c>
      <c r="G806" s="0" t="s">
        <v>3299</v>
      </c>
      <c r="H806" s="0" t="s">
        <v>3299</v>
      </c>
      <c r="I806" s="0" t="s">
        <v>3308</v>
      </c>
      <c r="J806" s="0" t="s">
        <v>3308</v>
      </c>
      <c r="K806" s="0" t="s">
        <v>3309</v>
      </c>
      <c r="L806" s="0" t="s">
        <v>32</v>
      </c>
      <c r="M806" s="0" t="s">
        <v>61</v>
      </c>
      <c r="N806" s="0" t="s">
        <v>32</v>
      </c>
      <c r="O806" s="0" t="s">
        <v>35</v>
      </c>
      <c r="P806" s="0" t="s">
        <v>39</v>
      </c>
      <c r="Q806" s="0" t="s">
        <v>3310</v>
      </c>
      <c r="R806" s="0" t="s">
        <v>3307</v>
      </c>
      <c r="S806" s="0" t="s">
        <v>92</v>
      </c>
      <c r="T806" s="0">
        <f>HYPERLINK("https://storage.sslt.ae/ItemVariation/08DCFA78-0467-4CE2-8AC7-7028CCD13511/1C6B8664-6D93-43D8-9B57-72E98B0B3750.png","Variant Image")</f>
      </c>
      <c r="U806" s="0">
        <f>HYPERLINK("https://ec-qa-storage.kldlms.com/Item/08DCFA78-0467-4CE2-8AC7-7028CCD13511/DBF47F77-164D-4011-AE48-16418513135D.jpg","Thumbnail Image")</f>
      </c>
      <c r="V806" s="0">
        <f>HYPERLINK("https://ec-qa-storage.kldlms.com/ItemGallery/08DCFA78-0467-4CE2-8AC7-7028CCD13511/710F0E02-0232-4F48-8ED0-09CE55CD6E60.png","Gallery Image ")</f>
      </c>
      <c r="W806" s="0" t="s">
        <v>22</v>
      </c>
    </row>
    <row r="807">
      <c r="P807" s="0" t="s">
        <v>593</v>
      </c>
      <c r="Q807" s="0" t="s">
        <v>3309</v>
      </c>
      <c r="R807" s="0" t="s">
        <v>3300</v>
      </c>
      <c r="S807" s="0" t="s">
        <v>32</v>
      </c>
      <c r="T807" s="0">
        <f>HYPERLINK("https://ec-qa-storage.kldlms.com/ItemVariation/08DCFA78-0467-4CE2-8AC7-7028CCD13511/E4700975-0DCB-42D8-BE6C-933BA5EE4C85.jpg","Variant Image")</f>
      </c>
    </row>
    <row r="808">
      <c r="A808" s="0" t="s">
        <v>3311</v>
      </c>
      <c r="B808" s="0" t="s">
        <v>3311</v>
      </c>
      <c r="C808" s="0" t="s">
        <v>3312</v>
      </c>
      <c r="D808" s="0" t="s">
        <v>27</v>
      </c>
      <c r="E808" s="0" t="s">
        <v>3155</v>
      </c>
      <c r="F808" s="0" t="s">
        <v>3137</v>
      </c>
      <c r="G808" s="0" t="s">
        <v>3311</v>
      </c>
      <c r="H808" s="0" t="s">
        <v>3311</v>
      </c>
      <c r="I808" s="0" t="s">
        <v>3313</v>
      </c>
      <c r="J808" s="0" t="s">
        <v>3313</v>
      </c>
      <c r="K808" s="0" t="s">
        <v>3314</v>
      </c>
      <c r="L808" s="0" t="s">
        <v>32</v>
      </c>
      <c r="M808" s="0" t="s">
        <v>61</v>
      </c>
      <c r="N808" s="0" t="s">
        <v>32</v>
      </c>
      <c r="O808" s="0" t="s">
        <v>35</v>
      </c>
      <c r="P808" s="0" t="s">
        <v>39</v>
      </c>
      <c r="Q808" s="0" t="s">
        <v>3315</v>
      </c>
      <c r="R808" s="0" t="s">
        <v>3312</v>
      </c>
      <c r="S808" s="0" t="s">
        <v>32</v>
      </c>
      <c r="T808" s="0">
        <f>HYPERLINK("https://storage.sslt.ae/ItemVariation/08DCFA78-0541-4436-8656-B025B5A6D64A/FB8C5F14-F453-4113-8BA1-19B9E94A4677.png","Variant Image")</f>
      </c>
      <c r="U808" s="0">
        <f>HYPERLINK("https://ec-qa-storage.kldlms.com/Item/08DCFA78-0541-4436-8656-B025B5A6D64A/5D52020D-CCF3-4563-94B9-95B9FEF16B77.jpg","Thumbnail Image")</f>
      </c>
      <c r="V808" s="0">
        <f>HYPERLINK("https://ec-qa-storage.kldlms.com/ItemGallery/08DCFA78-0541-4436-8656-B025B5A6D64A/4EBF37A0-BE37-45E1-A831-50DCF7622F39.jpg","Gallery Image ")</f>
      </c>
      <c r="W808" s="0" t="s">
        <v>22</v>
      </c>
    </row>
    <row r="809">
      <c r="P809" s="0" t="s">
        <v>527</v>
      </c>
      <c r="Q809" s="0" t="s">
        <v>3314</v>
      </c>
      <c r="R809" s="0" t="s">
        <v>3312</v>
      </c>
      <c r="S809" s="0" t="s">
        <v>32</v>
      </c>
      <c r="T809" s="0">
        <f>HYPERLINK("https://ec-qa-storage.kldlms.com/ItemVariation/08DCFA78-0541-4436-8656-B025B5A6D64A/4B6C235B-C9C0-4A5F-9068-B41302947B91.jpg","Variant Image")</f>
      </c>
    </row>
    <row r="810">
      <c r="A810" s="0" t="s">
        <v>3316</v>
      </c>
      <c r="B810" s="0" t="s">
        <v>3316</v>
      </c>
      <c r="C810" s="0" t="s">
        <v>3317</v>
      </c>
      <c r="D810" s="0" t="s">
        <v>27</v>
      </c>
      <c r="E810" s="0" t="s">
        <v>3155</v>
      </c>
      <c r="F810" s="0" t="s">
        <v>3137</v>
      </c>
      <c r="G810" s="0" t="s">
        <v>3316</v>
      </c>
      <c r="H810" s="0" t="s">
        <v>3316</v>
      </c>
      <c r="I810" s="0" t="s">
        <v>3318</v>
      </c>
      <c r="J810" s="0" t="s">
        <v>3318</v>
      </c>
      <c r="K810" s="0" t="s">
        <v>3319</v>
      </c>
      <c r="L810" s="0" t="s">
        <v>32</v>
      </c>
      <c r="M810" s="0" t="s">
        <v>61</v>
      </c>
      <c r="N810" s="0" t="s">
        <v>32</v>
      </c>
      <c r="O810" s="0" t="s">
        <v>35</v>
      </c>
      <c r="P810" s="0" t="s">
        <v>39</v>
      </c>
      <c r="Q810" s="0" t="s">
        <v>3320</v>
      </c>
      <c r="R810" s="0" t="s">
        <v>3317</v>
      </c>
      <c r="S810" s="0" t="s">
        <v>32</v>
      </c>
      <c r="T810" s="0">
        <f>HYPERLINK("https://storage.sslt.ae/ItemVariation/08DCFA78-076C-40F9-8CA0-AFFE964498B7/9B57C0A7-5CCE-4983-8C17-3A1D7A20F344.png","Variant Image")</f>
      </c>
      <c r="U810" s="0">
        <f>HYPERLINK("https://ec-qa-storage.kldlms.com/Item/08DCFA78-076C-40F9-8CA0-AFFE964498B7/84EAFBEB-60E7-4BED-9F8A-DFB4CEBDE8B9.jpg","Thumbnail Image")</f>
      </c>
      <c r="V810" s="0">
        <f>HYPERLINK("https://ec-qa-storage.kldlms.com/ItemGallery/08DCFA78-076C-40F9-8CA0-AFFE964498B7/B1ADE424-C76A-4C00-8C33-1F84CBD77318.png","Gallery Image ")</f>
      </c>
      <c r="W810" s="0" t="s">
        <v>22</v>
      </c>
    </row>
    <row r="811">
      <c r="P811" s="0" t="s">
        <v>527</v>
      </c>
      <c r="Q811" s="0" t="s">
        <v>3319</v>
      </c>
      <c r="R811" s="0" t="s">
        <v>3317</v>
      </c>
      <c r="S811" s="0" t="s">
        <v>32</v>
      </c>
      <c r="T811" s="0">
        <f>HYPERLINK("https://ec-qa-storage.kldlms.com/ItemVariation/08DCFA78-076C-40F9-8CA0-AFFE964498B7/3719BB95-DE27-4E4C-B403-E9FB365929EC.jpg","Variant Image")</f>
      </c>
    </row>
    <row r="812">
      <c r="A812" s="0" t="s">
        <v>3321</v>
      </c>
      <c r="B812" s="0" t="s">
        <v>3321</v>
      </c>
      <c r="C812" s="0" t="s">
        <v>3322</v>
      </c>
      <c r="D812" s="0" t="s">
        <v>27</v>
      </c>
      <c r="E812" s="0" t="s">
        <v>3127</v>
      </c>
      <c r="F812" s="0" t="s">
        <v>557</v>
      </c>
      <c r="G812" s="0" t="s">
        <v>3321</v>
      </c>
      <c r="H812" s="0" t="s">
        <v>3321</v>
      </c>
      <c r="I812" s="0" t="s">
        <v>615</v>
      </c>
      <c r="J812" s="0" t="s">
        <v>615</v>
      </c>
      <c r="K812" s="0" t="s">
        <v>3323</v>
      </c>
      <c r="L812" s="0" t="s">
        <v>32</v>
      </c>
      <c r="M812" s="0" t="s">
        <v>33</v>
      </c>
      <c r="N812" s="0" t="s">
        <v>1022</v>
      </c>
      <c r="O812" s="0" t="s">
        <v>35</v>
      </c>
      <c r="P812" s="0" t="s">
        <v>39</v>
      </c>
      <c r="Q812" s="0" t="s">
        <v>3324</v>
      </c>
      <c r="R812" s="0" t="s">
        <v>3322</v>
      </c>
      <c r="S812" s="0" t="s">
        <v>1022</v>
      </c>
      <c r="T812" s="0">
        <f>HYPERLINK("https://storage.sslt.ae/ItemVariation/08DCFA78-0939-44DA-8092-D7FEC1A19091/C942FD8A-4DF8-461D-ABCF-004C494845CB.png","Variant Image")</f>
      </c>
      <c r="U812" s="0">
        <f>HYPERLINK("https://ec-qa-storage.kldlms.com/Item/08DCFA78-0939-44DA-8092-D7FEC1A19091/1A5AF84D-DB7E-483D-B5F9-9810197A3877.png","Thumbnail Image")</f>
      </c>
      <c r="V812" s="0">
        <f>HYPERLINK("https://ec-qa-storage.kldlms.com/ItemGallery/08DCFA78-0939-44DA-8092-D7FEC1A19091/460D676A-E26A-4142-9E05-C7CCF9825EB9.png","Gallery Image ")</f>
      </c>
      <c r="W812" s="0" t="s">
        <v>22</v>
      </c>
      <c r="X812" s="0" t="s">
        <v>3325</v>
      </c>
    </row>
    <row r="813">
      <c r="A813" s="0" t="s">
        <v>3326</v>
      </c>
      <c r="B813" s="0" t="s">
        <v>3326</v>
      </c>
      <c r="C813" s="0" t="s">
        <v>3327</v>
      </c>
      <c r="D813" s="0" t="s">
        <v>27</v>
      </c>
      <c r="E813" s="0" t="s">
        <v>3127</v>
      </c>
      <c r="F813" s="0" t="s">
        <v>557</v>
      </c>
      <c r="G813" s="0" t="s">
        <v>3326</v>
      </c>
      <c r="H813" s="0" t="s">
        <v>3326</v>
      </c>
      <c r="I813" s="0" t="s">
        <v>615</v>
      </c>
      <c r="J813" s="0" t="s">
        <v>615</v>
      </c>
      <c r="K813" s="0" t="s">
        <v>3328</v>
      </c>
      <c r="L813" s="0" t="s">
        <v>32</v>
      </c>
      <c r="M813" s="0" t="s">
        <v>33</v>
      </c>
      <c r="N813" s="0" t="s">
        <v>512</v>
      </c>
      <c r="O813" s="0" t="s">
        <v>35</v>
      </c>
      <c r="P813" s="0" t="s">
        <v>39</v>
      </c>
      <c r="Q813" s="0" t="s">
        <v>3329</v>
      </c>
      <c r="R813" s="0" t="s">
        <v>3327</v>
      </c>
      <c r="S813" s="0" t="s">
        <v>512</v>
      </c>
      <c r="T813" s="0">
        <f>HYPERLINK("https://storage.sslt.ae/ItemVariation/08DCFA78-0995-4A72-8322-8F5722184EA1/B66167E1-AFA8-4E07-8833-CD99B74437B4.png","Variant Image")</f>
      </c>
      <c r="U813" s="0">
        <f>HYPERLINK("https://ec-qa-storage.kldlms.com/Item/08DCFA78-0995-4A72-8322-8F5722184EA1/F60FFF0D-AF73-4052-9874-04A1FD0C5BE6.png","Thumbnail Image")</f>
      </c>
      <c r="V813" s="0">
        <f>HYPERLINK("https://ec-qa-storage.kldlms.com/ItemGallery/08DCFA78-0995-4A72-8322-8F5722184EA1/1C55225D-04F0-44FF-9A2D-EF146B5F91DF.png","Gallery Image ")</f>
      </c>
      <c r="W813" s="0" t="s">
        <v>22</v>
      </c>
      <c r="X813" s="0" t="s">
        <v>3330</v>
      </c>
    </row>
    <row r="814">
      <c r="A814" s="0" t="s">
        <v>3331</v>
      </c>
      <c r="B814" s="0" t="s">
        <v>3331</v>
      </c>
      <c r="C814" s="0" t="s">
        <v>3332</v>
      </c>
      <c r="D814" s="0" t="s">
        <v>27</v>
      </c>
      <c r="E814" s="0" t="s">
        <v>3127</v>
      </c>
      <c r="F814" s="0" t="s">
        <v>557</v>
      </c>
      <c r="G814" s="0" t="s">
        <v>3331</v>
      </c>
      <c r="H814" s="0" t="s">
        <v>3331</v>
      </c>
      <c r="I814" s="0" t="s">
        <v>615</v>
      </c>
      <c r="J814" s="0" t="s">
        <v>615</v>
      </c>
      <c r="K814" s="0" t="s">
        <v>1239</v>
      </c>
      <c r="L814" s="0" t="s">
        <v>32</v>
      </c>
      <c r="M814" s="0" t="s">
        <v>33</v>
      </c>
      <c r="N814" s="0" t="s">
        <v>3333</v>
      </c>
      <c r="O814" s="0" t="s">
        <v>35</v>
      </c>
      <c r="P814" s="0" t="s">
        <v>39</v>
      </c>
      <c r="Q814" s="0" t="s">
        <v>3334</v>
      </c>
      <c r="R814" s="0" t="s">
        <v>3332</v>
      </c>
      <c r="S814" s="0" t="s">
        <v>3333</v>
      </c>
      <c r="T814" s="0">
        <f>HYPERLINK("https://storage.sslt.ae/ItemVariation/08DCFA78-0A4E-45B1-83AA-0DB8A71733A9/11CDE63D-D7F4-42A5-AD1F-204831B71909.png","Variant Image")</f>
      </c>
      <c r="U814" s="0">
        <f>HYPERLINK("https://ec-qa-storage.kldlms.com/Item/08DCFA78-0A4E-45B1-83AA-0DB8A71733A9/5AF4661D-025E-4017-99B6-FA4267528C11.png","Thumbnail Image")</f>
      </c>
      <c r="V814" s="0">
        <f>HYPERLINK("https://ec-qa-storage.kldlms.com/ItemGallery/08DCFA78-0A4E-45B1-83AA-0DB8A71733A9/86AE1B7D-6F77-4347-9DE9-42DE52E50667.png","Gallery Image ")</f>
      </c>
      <c r="W814" s="0" t="s">
        <v>22</v>
      </c>
      <c r="X814" s="0" t="s">
        <v>3335</v>
      </c>
    </row>
    <row r="815">
      <c r="A815" s="0" t="s">
        <v>3331</v>
      </c>
      <c r="B815" s="0" t="s">
        <v>3331</v>
      </c>
      <c r="C815" s="0" t="s">
        <v>3336</v>
      </c>
      <c r="D815" s="0" t="s">
        <v>27</v>
      </c>
      <c r="E815" s="0" t="s">
        <v>3155</v>
      </c>
      <c r="F815" s="0" t="s">
        <v>3137</v>
      </c>
      <c r="G815" s="0" t="s">
        <v>3331</v>
      </c>
      <c r="H815" s="0" t="s">
        <v>3331</v>
      </c>
      <c r="I815" s="0" t="s">
        <v>3337</v>
      </c>
      <c r="J815" s="0" t="s">
        <v>3337</v>
      </c>
      <c r="K815" s="0" t="s">
        <v>3338</v>
      </c>
      <c r="L815" s="0" t="s">
        <v>32</v>
      </c>
      <c r="M815" s="0" t="s">
        <v>61</v>
      </c>
      <c r="N815" s="0" t="s">
        <v>232</v>
      </c>
      <c r="O815" s="0" t="s">
        <v>35</v>
      </c>
      <c r="P815" s="0" t="s">
        <v>39</v>
      </c>
      <c r="Q815" s="0" t="s">
        <v>3339</v>
      </c>
      <c r="R815" s="0" t="s">
        <v>3336</v>
      </c>
      <c r="S815" s="0" t="s">
        <v>232</v>
      </c>
      <c r="T815" s="0">
        <f>HYPERLINK("https://storage.sslt.ae/ItemVariation/08DCFA78-0AAA-4FDF-81AE-42B3D9879429/638F67F6-3299-4396-9B0F-1CD11F18632D.png","Variant Image")</f>
      </c>
      <c r="U815" s="0">
        <f>HYPERLINK("https://ec-qa-storage.kldlms.com/Item/08DCFA78-0AAA-4FDF-81AE-42B3D9879429/E1769351-4673-409B-94E7-8245D9B4BD89.jpg","Thumbnail Image")</f>
      </c>
      <c r="V815" s="0">
        <f>HYPERLINK("https://ec-qa-storage.kldlms.com/ItemGallery/08DCFA78-0AAA-4FDF-81AE-42B3D9879429/DD2ADD10-B4C1-457A-93EE-4BDE98317AC1.jpg","Gallery Image ")</f>
      </c>
      <c r="W815" s="0" t="s">
        <v>22</v>
      </c>
    </row>
    <row r="816">
      <c r="P816" s="0" t="s">
        <v>527</v>
      </c>
      <c r="Q816" s="0" t="s">
        <v>3338</v>
      </c>
      <c r="R816" s="0" t="s">
        <v>3336</v>
      </c>
      <c r="S816" s="0" t="s">
        <v>32</v>
      </c>
      <c r="T816" s="0">
        <f>HYPERLINK("https://ec-qa-storage.kldlms.com/ItemVariation/08DCFA78-0AAA-4FDF-81AE-42B3D9879429/82028581-269B-4F09-95A8-2A167CE1B9C7.jpg","Variant Image")</f>
      </c>
    </row>
    <row r="817">
      <c r="P817" s="0" t="s">
        <v>593</v>
      </c>
      <c r="Q817" s="0" t="s">
        <v>3338</v>
      </c>
      <c r="R817" s="0" t="s">
        <v>3332</v>
      </c>
      <c r="S817" s="0" t="s">
        <v>32</v>
      </c>
      <c r="T817" s="0">
        <f>HYPERLINK("https://ec-qa-storage.kldlms.com/ItemVariation/08DCFA78-0AAA-4FDF-81AE-42B3D9879429/667C5A3E-F4F7-4769-9DA2-3EFD80D2A5FF.jpg","Variant Image")</f>
      </c>
    </row>
    <row r="818">
      <c r="A818" s="0" t="s">
        <v>3340</v>
      </c>
      <c r="B818" s="0" t="s">
        <v>3340</v>
      </c>
      <c r="C818" s="0" t="s">
        <v>3341</v>
      </c>
      <c r="D818" s="0" t="s">
        <v>27</v>
      </c>
      <c r="E818" s="0" t="s">
        <v>3155</v>
      </c>
      <c r="F818" s="0" t="s">
        <v>3137</v>
      </c>
      <c r="G818" s="0" t="s">
        <v>3340</v>
      </c>
      <c r="H818" s="0" t="s">
        <v>3340</v>
      </c>
      <c r="I818" s="0" t="s">
        <v>3342</v>
      </c>
      <c r="J818" s="0" t="s">
        <v>3342</v>
      </c>
      <c r="K818" s="0" t="s">
        <v>2387</v>
      </c>
      <c r="L818" s="0" t="s">
        <v>32</v>
      </c>
      <c r="M818" s="0" t="s">
        <v>61</v>
      </c>
      <c r="N818" s="0" t="s">
        <v>223</v>
      </c>
      <c r="O818" s="0" t="s">
        <v>35</v>
      </c>
      <c r="P818" s="0" t="s">
        <v>39</v>
      </c>
      <c r="Q818" s="0" t="s">
        <v>2388</v>
      </c>
      <c r="R818" s="0" t="s">
        <v>3341</v>
      </c>
      <c r="S818" s="0" t="s">
        <v>223</v>
      </c>
      <c r="T818" s="0">
        <f>HYPERLINK("https://storage.sslt.ae/ItemVariation/08DCFA78-0B06-4003-8FDB-A5BA68BA26B9/50A767F4-A54C-4A97-B8F2-876A272363F9.png","Variant Image")</f>
      </c>
      <c r="U818" s="0">
        <f>HYPERLINK("https://ec-qa-storage.kldlms.com/Item/08DCFA78-0B06-4003-8FDB-A5BA68BA26B9/F8793BDF-A36E-4D58-A2E4-0F5E80A940B9.jpg","Thumbnail Image")</f>
      </c>
      <c r="V818" s="0">
        <f>HYPERLINK("https://ec-qa-storage.kldlms.com/ItemGallery/08DCFA78-0B06-4003-8FDB-A5BA68BA26B9/D0FD5DCB-E0EB-42EA-983A-83ABFEE7D38C.jpg","Gallery Image ")</f>
      </c>
      <c r="W818" s="0" t="s">
        <v>22</v>
      </c>
    </row>
    <row r="819">
      <c r="P819" s="0" t="s">
        <v>527</v>
      </c>
      <c r="Q819" s="0" t="s">
        <v>2387</v>
      </c>
      <c r="R819" s="0" t="s">
        <v>3341</v>
      </c>
      <c r="S819" s="0" t="s">
        <v>32</v>
      </c>
      <c r="T819" s="0">
        <f>HYPERLINK("https://ec-qa-storage.kldlms.com/ItemVariation/08DCFA78-0B06-4003-8FDB-A5BA68BA26B9/AA72A80D-DC04-416C-A8C3-34484B6FD9B5.jpg","Variant Image")</f>
      </c>
    </row>
    <row r="820">
      <c r="A820" s="0" t="s">
        <v>3343</v>
      </c>
      <c r="B820" s="0" t="s">
        <v>3343</v>
      </c>
      <c r="C820" s="0" t="s">
        <v>3344</v>
      </c>
      <c r="D820" s="0" t="s">
        <v>27</v>
      </c>
      <c r="E820" s="0" t="s">
        <v>3155</v>
      </c>
      <c r="F820" s="0" t="s">
        <v>3137</v>
      </c>
      <c r="G820" s="0" t="s">
        <v>3343</v>
      </c>
      <c r="H820" s="0" t="s">
        <v>3343</v>
      </c>
      <c r="I820" s="0" t="s">
        <v>3345</v>
      </c>
      <c r="J820" s="0" t="s">
        <v>3345</v>
      </c>
      <c r="K820" s="0" t="s">
        <v>3346</v>
      </c>
      <c r="L820" s="0" t="s">
        <v>32</v>
      </c>
      <c r="M820" s="0" t="s">
        <v>61</v>
      </c>
      <c r="N820" s="0" t="s">
        <v>109</v>
      </c>
      <c r="O820" s="0" t="s">
        <v>35</v>
      </c>
      <c r="P820" s="0" t="s">
        <v>39</v>
      </c>
      <c r="Q820" s="0" t="s">
        <v>3347</v>
      </c>
      <c r="R820" s="0" t="s">
        <v>3344</v>
      </c>
      <c r="S820" s="0" t="s">
        <v>109</v>
      </c>
      <c r="T820" s="0">
        <f>HYPERLINK("https://storage.sslt.ae/ItemVariation/08DCFA78-0B62-4A74-8357-58C8F69CCDE9/5E5A2C25-7E37-48FB-9767-AD2DC8A6ABF9.png","Variant Image")</f>
      </c>
      <c r="U820" s="0">
        <f>HYPERLINK("https://ec-qa-storage.kldlms.com/Item/08DCFA78-0B62-4A74-8357-58C8F69CCDE9/0BBD0995-448F-484B-B6D9-8E3B1047086C.jpg","Thumbnail Image")</f>
      </c>
      <c r="V820" s="0">
        <f>HYPERLINK("https://ec-qa-storage.kldlms.com/ItemGallery/08DCFA78-0B62-4A74-8357-58C8F69CCDE9/151A49ED-94AB-4511-B803-9589947D8E61.jpg","Gallery Image ")</f>
      </c>
      <c r="W820" s="0" t="s">
        <v>22</v>
      </c>
    </row>
    <row r="821">
      <c r="P821" s="0" t="s">
        <v>593</v>
      </c>
      <c r="Q821" s="0" t="s">
        <v>3346</v>
      </c>
      <c r="R821" s="0" t="s">
        <v>3344</v>
      </c>
      <c r="S821" s="0" t="s">
        <v>32</v>
      </c>
      <c r="T821" s="0">
        <f>HYPERLINK("https://ec-qa-storage.kldlms.com/ItemVariation/08DCFA78-0B62-4A74-8357-58C8F69CCDE9/EC1593A0-D31F-4A72-901A-E7609256E8F5.jpg","Variant Image")</f>
      </c>
    </row>
    <row r="822">
      <c r="A822" s="0" t="s">
        <v>3348</v>
      </c>
      <c r="B822" s="0" t="s">
        <v>3348</v>
      </c>
      <c r="C822" s="0" t="s">
        <v>3349</v>
      </c>
      <c r="D822" s="0" t="s">
        <v>27</v>
      </c>
      <c r="E822" s="0" t="s">
        <v>3127</v>
      </c>
      <c r="F822" s="0" t="s">
        <v>557</v>
      </c>
      <c r="G822" s="0" t="s">
        <v>3348</v>
      </c>
      <c r="H822" s="0" t="s">
        <v>3348</v>
      </c>
      <c r="I822" s="0" t="s">
        <v>615</v>
      </c>
      <c r="J822" s="0" t="s">
        <v>615</v>
      </c>
      <c r="K822" s="0" t="s">
        <v>3350</v>
      </c>
      <c r="L822" s="0" t="s">
        <v>32</v>
      </c>
      <c r="M822" s="0" t="s">
        <v>33</v>
      </c>
      <c r="N822" s="0" t="s">
        <v>337</v>
      </c>
      <c r="O822" s="0" t="s">
        <v>35</v>
      </c>
      <c r="P822" s="0" t="s">
        <v>39</v>
      </c>
      <c r="Q822" s="0" t="s">
        <v>3351</v>
      </c>
      <c r="R822" s="0" t="s">
        <v>3349</v>
      </c>
      <c r="S822" s="0" t="s">
        <v>337</v>
      </c>
      <c r="T822" s="0">
        <f>HYPERLINK("https://storage.sslt.ae/ItemVariation/08DCFA78-0BBE-4415-8A96-213E39414EB6/AA219A12-0334-4439-BD8B-982503EDBA4E.png","Variant Image")</f>
      </c>
      <c r="U822" s="0">
        <f>HYPERLINK("https://ec-qa-storage.kldlms.com/Item/08DCFA78-0BBE-4415-8A96-213E39414EB6/502CC879-F691-499D-AAAD-5594AD663318.png","Thumbnail Image")</f>
      </c>
      <c r="V822" s="0">
        <f>HYPERLINK("https://ec-qa-storage.kldlms.com/ItemGallery/08DCFA78-0BBE-4415-8A96-213E39414EB6/AB442867-6879-4E57-91DC-BCEA89197D61.png","Gallery Image ")</f>
      </c>
      <c r="W822" s="0" t="s">
        <v>22</v>
      </c>
      <c r="X822" s="0" t="s">
        <v>3352</v>
      </c>
    </row>
    <row r="823">
      <c r="A823" s="0" t="s">
        <v>3353</v>
      </c>
      <c r="B823" s="0" t="s">
        <v>3353</v>
      </c>
      <c r="C823" s="0" t="s">
        <v>3354</v>
      </c>
      <c r="D823" s="0" t="s">
        <v>27</v>
      </c>
      <c r="E823" s="0" t="s">
        <v>3127</v>
      </c>
      <c r="F823" s="0" t="s">
        <v>557</v>
      </c>
      <c r="G823" s="0" t="s">
        <v>3353</v>
      </c>
      <c r="H823" s="0" t="s">
        <v>3353</v>
      </c>
      <c r="I823" s="0" t="s">
        <v>615</v>
      </c>
      <c r="J823" s="0" t="s">
        <v>615</v>
      </c>
      <c r="K823" s="0" t="s">
        <v>880</v>
      </c>
      <c r="L823" s="0" t="s">
        <v>32</v>
      </c>
      <c r="M823" s="0" t="s">
        <v>33</v>
      </c>
      <c r="N823" s="0" t="s">
        <v>155</v>
      </c>
      <c r="O823" s="0" t="s">
        <v>35</v>
      </c>
      <c r="P823" s="0" t="s">
        <v>39</v>
      </c>
      <c r="Q823" s="0" t="s">
        <v>2409</v>
      </c>
      <c r="R823" s="0" t="s">
        <v>3354</v>
      </c>
      <c r="S823" s="0" t="s">
        <v>155</v>
      </c>
      <c r="T823" s="0">
        <f>HYPERLINK("https://storage.sslt.ae/ItemVariation/08DCFA78-0C1A-4849-8EFF-63CFD524ADB4/9E7A866F-B852-4AE9-A752-D33F95D78BE0.png","Variant Image")</f>
      </c>
      <c r="U823" s="0">
        <f>HYPERLINK("https://ec-qa-storage.kldlms.com/Item/08DCFA78-0C1A-4849-8EFF-63CFD524ADB4/2FFCEA1C-0FC7-498E-AC29-15E740128653.png","Thumbnail Image")</f>
      </c>
      <c r="V823" s="0">
        <f>HYPERLINK("https://ec-qa-storage.kldlms.com/ItemGallery/08DCFA78-0C1A-4849-8EFF-63CFD524ADB4/D496E985-A6B4-46E2-8FF0-58FD593D959A.png","Gallery Image ")</f>
      </c>
      <c r="W823" s="0" t="s">
        <v>22</v>
      </c>
      <c r="X823" s="0" t="s">
        <v>3355</v>
      </c>
    </row>
    <row r="824">
      <c r="A824" s="0" t="s">
        <v>3356</v>
      </c>
      <c r="B824" s="0" t="s">
        <v>3356</v>
      </c>
      <c r="C824" s="0" t="s">
        <v>3357</v>
      </c>
      <c r="D824" s="0" t="s">
        <v>27</v>
      </c>
      <c r="E824" s="0" t="s">
        <v>3127</v>
      </c>
      <c r="F824" s="0" t="s">
        <v>557</v>
      </c>
      <c r="G824" s="0" t="s">
        <v>3356</v>
      </c>
      <c r="H824" s="0" t="s">
        <v>3356</v>
      </c>
      <c r="I824" s="0" t="s">
        <v>615</v>
      </c>
      <c r="J824" s="0" t="s">
        <v>615</v>
      </c>
      <c r="K824" s="0" t="s">
        <v>3358</v>
      </c>
      <c r="L824" s="0" t="s">
        <v>32</v>
      </c>
      <c r="M824" s="0" t="s">
        <v>33</v>
      </c>
      <c r="N824" s="0" t="s">
        <v>109</v>
      </c>
      <c r="O824" s="0" t="s">
        <v>35</v>
      </c>
      <c r="P824" s="0" t="s">
        <v>39</v>
      </c>
      <c r="Q824" s="0" t="s">
        <v>3359</v>
      </c>
      <c r="R824" s="0" t="s">
        <v>3357</v>
      </c>
      <c r="S824" s="0" t="s">
        <v>109</v>
      </c>
      <c r="T824" s="0">
        <f>HYPERLINK("https://storage.sslt.ae/ItemVariation/08DCFA78-0C76-4A6B-8147-034DED05D235/B50182E6-F00B-4F7E-8613-7017BC510095.png","Variant Image")</f>
      </c>
      <c r="U824" s="0">
        <f>HYPERLINK("https://ec-qa-storage.kldlms.com/Item/08DCFA78-0C76-4A6B-8147-034DED05D235/8A901A3C-DD0F-4E6D-9176-D454D0DFC0EF.png","Thumbnail Image")</f>
      </c>
      <c r="V824" s="0">
        <f>HYPERLINK("https://ec-qa-storage.kldlms.com/ItemGallery/08DCFA78-0C76-4A6B-8147-034DED05D235/7A6BDCD9-CD8C-492E-94BF-88390DA0CB40.png","Gallery Image ")</f>
      </c>
      <c r="W824" s="0" t="s">
        <v>22</v>
      </c>
      <c r="X824" s="0" t="s">
        <v>3360</v>
      </c>
    </row>
    <row r="825">
      <c r="A825" s="0" t="s">
        <v>3361</v>
      </c>
      <c r="B825" s="0" t="s">
        <v>3361</v>
      </c>
      <c r="C825" s="0" t="s">
        <v>3362</v>
      </c>
      <c r="D825" s="0" t="s">
        <v>27</v>
      </c>
      <c r="E825" s="0" t="s">
        <v>3127</v>
      </c>
      <c r="F825" s="0" t="s">
        <v>557</v>
      </c>
      <c r="G825" s="0" t="s">
        <v>3361</v>
      </c>
      <c r="H825" s="0" t="s">
        <v>3361</v>
      </c>
      <c r="I825" s="0" t="s">
        <v>615</v>
      </c>
      <c r="J825" s="0" t="s">
        <v>615</v>
      </c>
      <c r="K825" s="0" t="s">
        <v>3363</v>
      </c>
      <c r="L825" s="0" t="s">
        <v>32</v>
      </c>
      <c r="M825" s="0" t="s">
        <v>33</v>
      </c>
      <c r="N825" s="0" t="s">
        <v>218</v>
      </c>
      <c r="O825" s="0" t="s">
        <v>35</v>
      </c>
      <c r="P825" s="0" t="s">
        <v>39</v>
      </c>
      <c r="Q825" s="0" t="s">
        <v>3364</v>
      </c>
      <c r="R825" s="0" t="s">
        <v>3362</v>
      </c>
      <c r="S825" s="0" t="s">
        <v>218</v>
      </c>
      <c r="T825" s="0">
        <f>HYPERLINK("https://storage.sslt.ae/ItemVariation/08DCFA78-0CD2-4B4E-8ABD-53E98512C456/311E1006-4E0F-4B62-880F-7648ACC71185.png","Variant Image")</f>
      </c>
      <c r="U825" s="0">
        <f>HYPERLINK("https://ec-qa-storage.kldlms.com/Item/08DCFA78-0CD2-4B4E-8ABD-53E98512C456/0E45F783-6839-460F-9994-250FDC91C942.png","Thumbnail Image")</f>
      </c>
      <c r="V825" s="0">
        <f>HYPERLINK("https://ec-qa-storage.kldlms.com/ItemGallery/08DCFA78-0CD2-4B4E-8ABD-53E98512C456/B4E62ACE-6E24-4A23-8C30-72C1AE2D49F2.png","Gallery Image ")</f>
      </c>
      <c r="W825" s="0" t="s">
        <v>22</v>
      </c>
      <c r="X825" s="0" t="s">
        <v>3365</v>
      </c>
    </row>
    <row r="826">
      <c r="A826" s="0" t="s">
        <v>3366</v>
      </c>
      <c r="B826" s="0" t="s">
        <v>3366</v>
      </c>
      <c r="C826" s="0" t="s">
        <v>3367</v>
      </c>
      <c r="D826" s="0" t="s">
        <v>27</v>
      </c>
      <c r="E826" s="0" t="s">
        <v>3127</v>
      </c>
      <c r="F826" s="0" t="s">
        <v>557</v>
      </c>
      <c r="G826" s="0" t="s">
        <v>3366</v>
      </c>
      <c r="H826" s="0" t="s">
        <v>3366</v>
      </c>
      <c r="I826" s="0" t="s">
        <v>615</v>
      </c>
      <c r="J826" s="0" t="s">
        <v>615</v>
      </c>
      <c r="K826" s="0" t="s">
        <v>3368</v>
      </c>
      <c r="L826" s="0" t="s">
        <v>32</v>
      </c>
      <c r="M826" s="0" t="s">
        <v>33</v>
      </c>
      <c r="N826" s="0" t="s">
        <v>1212</v>
      </c>
      <c r="O826" s="0" t="s">
        <v>35</v>
      </c>
      <c r="P826" s="0" t="s">
        <v>39</v>
      </c>
      <c r="Q826" s="0" t="s">
        <v>3369</v>
      </c>
      <c r="R826" s="0" t="s">
        <v>3367</v>
      </c>
      <c r="S826" s="0" t="s">
        <v>1212</v>
      </c>
      <c r="T826" s="0">
        <f>HYPERLINK("https://storage.sslt.ae/ItemVariation/08DCFA78-0D2D-4CD8-8976-71F07FB67054/D58CC3ED-8C0D-4F39-827E-FA12619708D6.png","Variant Image")</f>
      </c>
      <c r="U826" s="0">
        <f>HYPERLINK("https://ec-qa-storage.kldlms.com/Item/08DCFA78-0D2D-4CD8-8976-71F07FB67054/0BBAE1A9-2324-4AF1-BA5F-4E88BE224161.png","Thumbnail Image")</f>
      </c>
      <c r="V826" s="0">
        <f>HYPERLINK("https://ec-qa-storage.kldlms.com/ItemGallery/08DCFA78-0D2D-4CD8-8976-71F07FB67054/651C6C53-E9A2-4614-A704-8B3038639EF4.png","Gallery Image ")</f>
      </c>
      <c r="W826" s="0" t="s">
        <v>22</v>
      </c>
      <c r="X826" s="0" t="s">
        <v>3370</v>
      </c>
    </row>
    <row r="827">
      <c r="A827" s="0" t="s">
        <v>3371</v>
      </c>
      <c r="B827" s="0" t="s">
        <v>3371</v>
      </c>
      <c r="C827" s="0" t="s">
        <v>3372</v>
      </c>
      <c r="D827" s="0" t="s">
        <v>27</v>
      </c>
      <c r="E827" s="0" t="s">
        <v>3127</v>
      </c>
      <c r="F827" s="0" t="s">
        <v>557</v>
      </c>
      <c r="G827" s="0" t="s">
        <v>3371</v>
      </c>
      <c r="H827" s="0" t="s">
        <v>3371</v>
      </c>
      <c r="I827" s="0" t="s">
        <v>615</v>
      </c>
      <c r="J827" s="0" t="s">
        <v>615</v>
      </c>
      <c r="K827" s="0" t="s">
        <v>3373</v>
      </c>
      <c r="L827" s="0" t="s">
        <v>32</v>
      </c>
      <c r="M827" s="0" t="s">
        <v>33</v>
      </c>
      <c r="N827" s="0" t="s">
        <v>140</v>
      </c>
      <c r="O827" s="0" t="s">
        <v>35</v>
      </c>
      <c r="P827" s="0" t="s">
        <v>39</v>
      </c>
      <c r="Q827" s="0" t="s">
        <v>3374</v>
      </c>
      <c r="R827" s="0" t="s">
        <v>3372</v>
      </c>
      <c r="S827" s="0" t="s">
        <v>140</v>
      </c>
      <c r="T827" s="0">
        <f>HYPERLINK("https://storage.sslt.ae/ItemVariation/08DCFA78-0D8A-49DF-8B2F-CB8EBA1DF210/4A8F3E6E-40D6-416F-B22C-56E0ADDE0A69.png","Variant Image")</f>
      </c>
      <c r="U827" s="0">
        <f>HYPERLINK("https://ec-qa-storage.kldlms.com/Item/08DCFA78-0D8A-49DF-8B2F-CB8EBA1DF210/52E26FF9-371A-49C7-908B-9B7074F88DEC.png","Thumbnail Image")</f>
      </c>
      <c r="V827" s="0">
        <f>HYPERLINK("https://ec-qa-storage.kldlms.com/ItemGallery/08DCFA78-0D8A-49DF-8B2F-CB8EBA1DF210/B0C8FDD6-553C-4122-88DC-C5D8F4DB5A8D.png","Gallery Image ")</f>
      </c>
      <c r="W827" s="0" t="s">
        <v>22</v>
      </c>
      <c r="X827" s="0" t="s">
        <v>3375</v>
      </c>
    </row>
    <row r="828">
      <c r="A828" s="0" t="s">
        <v>3376</v>
      </c>
      <c r="B828" s="0" t="s">
        <v>3376</v>
      </c>
      <c r="C828" s="0" t="s">
        <v>3377</v>
      </c>
      <c r="D828" s="0" t="s">
        <v>27</v>
      </c>
      <c r="E828" s="0" t="s">
        <v>3127</v>
      </c>
      <c r="F828" s="0" t="s">
        <v>557</v>
      </c>
      <c r="G828" s="0" t="s">
        <v>3376</v>
      </c>
      <c r="H828" s="0" t="s">
        <v>3376</v>
      </c>
      <c r="I828" s="0" t="s">
        <v>615</v>
      </c>
      <c r="J828" s="0" t="s">
        <v>615</v>
      </c>
      <c r="K828" s="0" t="s">
        <v>3378</v>
      </c>
      <c r="L828" s="0" t="s">
        <v>32</v>
      </c>
      <c r="M828" s="0" t="s">
        <v>33</v>
      </c>
      <c r="N828" s="0" t="s">
        <v>209</v>
      </c>
      <c r="O828" s="0" t="s">
        <v>35</v>
      </c>
      <c r="P828" s="0" t="s">
        <v>39</v>
      </c>
      <c r="Q828" s="0" t="s">
        <v>3379</v>
      </c>
      <c r="R828" s="0" t="s">
        <v>3377</v>
      </c>
      <c r="S828" s="0" t="s">
        <v>209</v>
      </c>
      <c r="T828" s="0">
        <f>HYPERLINK("https://storage.sslt.ae/ItemVariation/08DCFA78-0DE6-4C41-8CD4-8B79CD459E45/B70B98CE-71FA-499B-A3BA-2B30B056484E.png","Variant Image")</f>
      </c>
      <c r="U828" s="0">
        <f>HYPERLINK("https://ec-qa-storage.kldlms.com/Item/08DCFA78-0DE6-4C41-8CD4-8B79CD459E45/D4D2F091-E611-4C80-A516-B526D5BF3273.png","Thumbnail Image")</f>
      </c>
      <c r="V828" s="0">
        <f>HYPERLINK("https://ec-qa-storage.kldlms.com/ItemGallery/08DCFA78-0DE6-4C41-8CD4-8B79CD459E45/4ED430EF-370F-457C-8D6E-2ECAFA832806.png","Gallery Image ")</f>
      </c>
      <c r="W828" s="0" t="s">
        <v>22</v>
      </c>
      <c r="X828" s="0" t="s">
        <v>3380</v>
      </c>
    </row>
    <row r="829">
      <c r="A829" s="0" t="s">
        <v>3381</v>
      </c>
      <c r="B829" s="0" t="s">
        <v>3381</v>
      </c>
      <c r="C829" s="0" t="s">
        <v>1107</v>
      </c>
      <c r="D829" s="0" t="s">
        <v>27</v>
      </c>
      <c r="E829" s="0" t="s">
        <v>3127</v>
      </c>
      <c r="F829" s="0" t="s">
        <v>557</v>
      </c>
      <c r="G829" s="0" t="s">
        <v>3381</v>
      </c>
      <c r="H829" s="0" t="s">
        <v>3381</v>
      </c>
      <c r="I829" s="0" t="s">
        <v>615</v>
      </c>
      <c r="J829" s="0" t="s">
        <v>615</v>
      </c>
      <c r="K829" s="0" t="s">
        <v>3382</v>
      </c>
      <c r="L829" s="0" t="s">
        <v>32</v>
      </c>
      <c r="M829" s="0" t="s">
        <v>33</v>
      </c>
      <c r="N829" s="0" t="s">
        <v>3383</v>
      </c>
      <c r="O829" s="0" t="s">
        <v>35</v>
      </c>
      <c r="P829" s="0" t="s">
        <v>39</v>
      </c>
      <c r="Q829" s="0" t="s">
        <v>3384</v>
      </c>
      <c r="R829" s="0" t="s">
        <v>1107</v>
      </c>
      <c r="S829" s="0" t="s">
        <v>3383</v>
      </c>
      <c r="T829" s="0">
        <f>HYPERLINK("https://storage.sslt.ae/ItemVariation/08DCFA78-0E44-4802-8615-1AA1C20E5D4E/01BB0AE3-19FA-4813-984B-D2E7EF4B6125.png","Variant Image")</f>
      </c>
      <c r="U829" s="0">
        <f>HYPERLINK("https://ec-qa-storage.kldlms.com/Item/08DCFA78-0E44-4802-8615-1AA1C20E5D4E/F3EECDE4-6CB8-42E9-ACCD-767CE3FFF918.png","Thumbnail Image")</f>
      </c>
      <c r="V829" s="0">
        <f>HYPERLINK("https://ec-qa-storage.kldlms.com/ItemGallery/08DCFA78-0E44-4802-8615-1AA1C20E5D4E/BA9CE3EC-6223-4726-996E-A4CCDA44EF33.png","Gallery Image ")</f>
      </c>
      <c r="W829" s="0" t="s">
        <v>22</v>
      </c>
      <c r="X829" s="0" t="s">
        <v>1108</v>
      </c>
    </row>
    <row r="830">
      <c r="A830" s="0" t="s">
        <v>3385</v>
      </c>
      <c r="B830" s="0" t="s">
        <v>3385</v>
      </c>
      <c r="C830" s="0" t="s">
        <v>3386</v>
      </c>
      <c r="D830" s="0" t="s">
        <v>27</v>
      </c>
      <c r="E830" s="0" t="s">
        <v>3127</v>
      </c>
      <c r="F830" s="0" t="s">
        <v>557</v>
      </c>
      <c r="G830" s="0" t="s">
        <v>3385</v>
      </c>
      <c r="H830" s="0" t="s">
        <v>3385</v>
      </c>
      <c r="I830" s="0" t="s">
        <v>615</v>
      </c>
      <c r="J830" s="0" t="s">
        <v>615</v>
      </c>
      <c r="K830" s="0" t="s">
        <v>3253</v>
      </c>
      <c r="L830" s="0" t="s">
        <v>32</v>
      </c>
      <c r="M830" s="0" t="s">
        <v>33</v>
      </c>
      <c r="N830" s="0" t="s">
        <v>142</v>
      </c>
      <c r="O830" s="0" t="s">
        <v>35</v>
      </c>
      <c r="P830" s="0" t="s">
        <v>39</v>
      </c>
      <c r="Q830" s="0" t="s">
        <v>3254</v>
      </c>
      <c r="R830" s="0" t="s">
        <v>3386</v>
      </c>
      <c r="S830" s="0" t="s">
        <v>142</v>
      </c>
      <c r="T830" s="0">
        <f>HYPERLINK("https://storage.sslt.ae/ItemVariation/08DCFA78-0E9F-478B-8BAC-DF2AFB9BAFDA/DD6C4D59-A619-4E2D-89CD-A1522EE09793.png","Variant Image")</f>
      </c>
      <c r="U830" s="0">
        <f>HYPERLINK("https://ec-qa-storage.kldlms.com/Item/08DCFA78-0E9F-478B-8BAC-DF2AFB9BAFDA/DA146D9C-E2DF-4405-8641-9E168A336698.png","Thumbnail Image")</f>
      </c>
      <c r="V830" s="0">
        <f>HYPERLINK("https://ec-qa-storage.kldlms.com/ItemGallery/08DCFA78-0E9F-478B-8BAC-DF2AFB9BAFDA/0AC19641-CE33-4048-9707-2E5DFB110240.png","Gallery Image ")</f>
      </c>
      <c r="W830" s="0" t="s">
        <v>22</v>
      </c>
      <c r="X830" s="0" t="s">
        <v>3387</v>
      </c>
    </row>
    <row r="831">
      <c r="A831" s="0" t="s">
        <v>3388</v>
      </c>
      <c r="B831" s="0" t="s">
        <v>3388</v>
      </c>
      <c r="C831" s="0" t="s">
        <v>3389</v>
      </c>
      <c r="D831" s="0" t="s">
        <v>27</v>
      </c>
      <c r="E831" s="0" t="s">
        <v>3127</v>
      </c>
      <c r="F831" s="0" t="s">
        <v>557</v>
      </c>
      <c r="G831" s="0" t="s">
        <v>3388</v>
      </c>
      <c r="H831" s="0" t="s">
        <v>3388</v>
      </c>
      <c r="I831" s="0" t="s">
        <v>615</v>
      </c>
      <c r="J831" s="0" t="s">
        <v>615</v>
      </c>
      <c r="K831" s="0" t="s">
        <v>1779</v>
      </c>
      <c r="L831" s="0" t="s">
        <v>32</v>
      </c>
      <c r="M831" s="0" t="s">
        <v>33</v>
      </c>
      <c r="N831" s="0" t="s">
        <v>245</v>
      </c>
      <c r="O831" s="0" t="s">
        <v>35</v>
      </c>
      <c r="P831" s="0" t="s">
        <v>39</v>
      </c>
      <c r="Q831" s="0" t="s">
        <v>3390</v>
      </c>
      <c r="R831" s="0" t="s">
        <v>3389</v>
      </c>
      <c r="S831" s="0" t="s">
        <v>245</v>
      </c>
      <c r="T831" s="0">
        <f>HYPERLINK("https://storage.sslt.ae/ItemVariation/08DCFA78-0EFB-4082-8349-8F6F3A39A55D/FC176A82-FCA1-47B5-967A-1B93BDBE8670.png","Variant Image")</f>
      </c>
      <c r="U831" s="0">
        <f>HYPERLINK("https://ec-qa-storage.kldlms.com/Item/08DCFA78-0EFB-4082-8349-8F6F3A39A55D/97FC57F6-7961-4F37-AC5E-87C21CA661C3.png","Thumbnail Image")</f>
      </c>
      <c r="V831" s="0">
        <f>HYPERLINK("https://ec-qa-storage.kldlms.com/ItemGallery/08DCFA78-0EFB-4082-8349-8F6F3A39A55D/BD936257-956F-46AC-870F-DCFD65E7C9E6.png","Gallery Image ")</f>
      </c>
      <c r="W831" s="0" t="s">
        <v>22</v>
      </c>
      <c r="X831" s="0" t="s">
        <v>3391</v>
      </c>
    </row>
    <row r="832">
      <c r="A832" s="0" t="s">
        <v>3392</v>
      </c>
      <c r="B832" s="0" t="s">
        <v>3392</v>
      </c>
      <c r="C832" s="0" t="s">
        <v>3393</v>
      </c>
      <c r="D832" s="0" t="s">
        <v>27</v>
      </c>
      <c r="E832" s="0" t="s">
        <v>3127</v>
      </c>
      <c r="F832" s="0" t="s">
        <v>557</v>
      </c>
      <c r="G832" s="0" t="s">
        <v>3392</v>
      </c>
      <c r="H832" s="0" t="s">
        <v>3392</v>
      </c>
      <c r="I832" s="0" t="s">
        <v>615</v>
      </c>
      <c r="J832" s="0" t="s">
        <v>615</v>
      </c>
      <c r="K832" s="0" t="s">
        <v>591</v>
      </c>
      <c r="L832" s="0" t="s">
        <v>32</v>
      </c>
      <c r="M832" s="0" t="s">
        <v>33</v>
      </c>
      <c r="N832" s="0" t="s">
        <v>232</v>
      </c>
      <c r="O832" s="0" t="s">
        <v>35</v>
      </c>
      <c r="P832" s="0" t="s">
        <v>39</v>
      </c>
      <c r="Q832" s="0" t="s">
        <v>3394</v>
      </c>
      <c r="R832" s="0" t="s">
        <v>3393</v>
      </c>
      <c r="S832" s="0" t="s">
        <v>232</v>
      </c>
      <c r="T832" s="0">
        <f>HYPERLINK("https://storage.sslt.ae/ItemVariation/08DCFA78-0F57-438B-8DAF-6B86260120D1/11DDF37A-A0DC-4221-B5F2-2A4314EA0775.png","Variant Image")</f>
      </c>
      <c r="U832" s="0">
        <f>HYPERLINK("https://ec-qa-storage.kldlms.com/Item/08DCFA78-0F57-438B-8DAF-6B86260120D1/BB54AEB1-2652-4B37-9053-AACF394858E5.png","Thumbnail Image")</f>
      </c>
      <c r="V832" s="0">
        <f>HYPERLINK("https://ec-qa-storage.kldlms.com/ItemGallery/08DCFA78-0F57-438B-8DAF-6B86260120D1/16B55050-2A8B-41B1-B8A5-A639575BFE34.png","Gallery Image ")</f>
      </c>
      <c r="W832" s="0" t="s">
        <v>22</v>
      </c>
      <c r="X832" s="0" t="s">
        <v>3395</v>
      </c>
    </row>
    <row r="833">
      <c r="A833" s="0" t="s">
        <v>3396</v>
      </c>
      <c r="B833" s="0" t="s">
        <v>3396</v>
      </c>
      <c r="C833" s="0" t="s">
        <v>3397</v>
      </c>
      <c r="D833" s="0" t="s">
        <v>27</v>
      </c>
      <c r="E833" s="0" t="s">
        <v>3155</v>
      </c>
      <c r="F833" s="0" t="s">
        <v>3137</v>
      </c>
      <c r="G833" s="0" t="s">
        <v>3396</v>
      </c>
      <c r="H833" s="0" t="s">
        <v>3396</v>
      </c>
      <c r="I833" s="0" t="s">
        <v>3398</v>
      </c>
      <c r="J833" s="0" t="s">
        <v>3398</v>
      </c>
      <c r="K833" s="0" t="s">
        <v>3399</v>
      </c>
      <c r="L833" s="0" t="s">
        <v>32</v>
      </c>
      <c r="M833" s="0" t="s">
        <v>61</v>
      </c>
      <c r="N833" s="0" t="s">
        <v>202</v>
      </c>
      <c r="O833" s="0" t="s">
        <v>35</v>
      </c>
      <c r="P833" s="0" t="s">
        <v>39</v>
      </c>
      <c r="Q833" s="0" t="s">
        <v>3400</v>
      </c>
      <c r="R833" s="0" t="s">
        <v>3397</v>
      </c>
      <c r="S833" s="0" t="s">
        <v>202</v>
      </c>
      <c r="T833" s="0">
        <f>HYPERLINK("https://storage.sslt.ae/ItemVariation/08DCFA78-0FB4-4F60-859B-1D8662F41A8E/F81C14F9-0DCF-41A6-A9FF-BBFC8AF97D51.png","Variant Image")</f>
      </c>
      <c r="U833" s="0">
        <f>HYPERLINK("https://ec-qa-storage.kldlms.com/Item/08DCFA78-0FB4-4F60-859B-1D8662F41A8E/06DD134F-A9B8-45E4-99AC-7E912A264B12.jpg","Thumbnail Image")</f>
      </c>
      <c r="V833" s="0">
        <f>HYPERLINK("https://ec-qa-storage.kldlms.com/ItemGallery/08DCFA78-0FB4-4F60-859B-1D8662F41A8E/2BAB4F74-82FA-4B67-9306-C6D8862465FD.jpg","Gallery Image ")</f>
      </c>
      <c r="W833" s="0" t="s">
        <v>22</v>
      </c>
    </row>
    <row r="834">
      <c r="P834" s="0" t="s">
        <v>527</v>
      </c>
      <c r="Q834" s="0" t="s">
        <v>3399</v>
      </c>
      <c r="R834" s="0" t="s">
        <v>3397</v>
      </c>
      <c r="S834" s="0" t="s">
        <v>32</v>
      </c>
      <c r="T834" s="0">
        <f>HYPERLINK("https://ec-qa-storage.kldlms.com/ItemVariation/08DCFA78-0FB4-4F60-859B-1D8662F41A8E/623DEFDF-A0B2-4BBE-9045-67FF270BBC38.jpg","Variant Image")</f>
      </c>
    </row>
    <row r="835">
      <c r="P835" s="0" t="s">
        <v>1016</v>
      </c>
      <c r="Q835" s="0" t="s">
        <v>3399</v>
      </c>
      <c r="R835" s="0" t="s">
        <v>3386</v>
      </c>
      <c r="S835" s="0" t="s">
        <v>32</v>
      </c>
      <c r="T835" s="0">
        <f>HYPERLINK("https://ec-qa-storage.kldlms.com/ItemVariation/08DCFA78-0FB4-4F60-859B-1D8662F41A8E/1E802B18-18C4-4040-8E4B-0AB69333402A.jpg","Variant Image")</f>
      </c>
    </row>
    <row r="836">
      <c r="P836" s="0" t="s">
        <v>3401</v>
      </c>
      <c r="Q836" s="0" t="s">
        <v>3399</v>
      </c>
      <c r="R836" s="0" t="s">
        <v>3389</v>
      </c>
      <c r="S836" s="0" t="s">
        <v>32</v>
      </c>
      <c r="T836" s="0">
        <f>HYPERLINK("https://ec-qa-storage.kldlms.com/ItemVariation/08DCFA78-0FB4-4F60-859B-1D8662F41A8E/78EFA4A8-4BF9-4AB5-A2E2-D11503761927.jpg","Variant Image")</f>
      </c>
    </row>
    <row r="837">
      <c r="A837" s="0" t="s">
        <v>3402</v>
      </c>
      <c r="B837" s="0" t="s">
        <v>3402</v>
      </c>
      <c r="C837" s="0" t="s">
        <v>3403</v>
      </c>
      <c r="D837" s="0" t="s">
        <v>27</v>
      </c>
      <c r="E837" s="0" t="s">
        <v>3127</v>
      </c>
      <c r="F837" s="0" t="s">
        <v>557</v>
      </c>
      <c r="G837" s="0" t="s">
        <v>3402</v>
      </c>
      <c r="H837" s="0" t="s">
        <v>3402</v>
      </c>
      <c r="I837" s="0" t="s">
        <v>615</v>
      </c>
      <c r="J837" s="0" t="s">
        <v>615</v>
      </c>
      <c r="K837" s="0" t="s">
        <v>3404</v>
      </c>
      <c r="L837" s="0" t="s">
        <v>32</v>
      </c>
      <c r="M837" s="0" t="s">
        <v>33</v>
      </c>
      <c r="N837" s="0" t="s">
        <v>35</v>
      </c>
      <c r="O837" s="0" t="s">
        <v>35</v>
      </c>
      <c r="P837" s="0" t="s">
        <v>39</v>
      </c>
      <c r="Q837" s="0" t="s">
        <v>3405</v>
      </c>
      <c r="R837" s="0" t="s">
        <v>3403</v>
      </c>
      <c r="S837" s="0" t="s">
        <v>35</v>
      </c>
      <c r="T837" s="0">
        <f>HYPERLINK("https://storage.sslt.ae/ItemVariation/08DCFA78-1010-4AE4-849B-A399B2E8D40A/63284ADF-5045-4A8B-9CB2-15DE50AFB330.png","Variant Image")</f>
      </c>
      <c r="U837" s="0">
        <f>HYPERLINK("https://ec-qa-storage.kldlms.com/Item/08DCFA78-1010-4AE4-849B-A399B2E8D40A/9DFE87A4-AD88-4932-9C19-39FCA1D01E27.png","Thumbnail Image")</f>
      </c>
      <c r="V837" s="0">
        <f>HYPERLINK("https://ec-qa-storage.kldlms.com/ItemGallery/08DCFA78-1010-4AE4-849B-A399B2E8D40A/EF879431-C13D-4645-B2DA-14545B95D558.png","Gallery Image ")</f>
      </c>
      <c r="W837" s="0" t="s">
        <v>22</v>
      </c>
      <c r="X837" s="0" t="s">
        <v>3406</v>
      </c>
    </row>
    <row r="838">
      <c r="A838" s="0" t="s">
        <v>3407</v>
      </c>
      <c r="B838" s="0" t="s">
        <v>3407</v>
      </c>
      <c r="C838" s="0" t="s">
        <v>3408</v>
      </c>
      <c r="D838" s="0" t="s">
        <v>27</v>
      </c>
      <c r="E838" s="0" t="s">
        <v>3127</v>
      </c>
      <c r="F838" s="0" t="s">
        <v>557</v>
      </c>
      <c r="G838" s="0" t="s">
        <v>3407</v>
      </c>
      <c r="H838" s="0" t="s">
        <v>3407</v>
      </c>
      <c r="I838" s="0" t="s">
        <v>615</v>
      </c>
      <c r="J838" s="0" t="s">
        <v>615</v>
      </c>
      <c r="K838" s="0" t="s">
        <v>3404</v>
      </c>
      <c r="L838" s="0" t="s">
        <v>32</v>
      </c>
      <c r="M838" s="0" t="s">
        <v>33</v>
      </c>
      <c r="N838" s="0" t="s">
        <v>404</v>
      </c>
      <c r="O838" s="0" t="s">
        <v>35</v>
      </c>
      <c r="P838" s="0" t="s">
        <v>39</v>
      </c>
      <c r="Q838" s="0" t="s">
        <v>3405</v>
      </c>
      <c r="R838" s="0" t="s">
        <v>3408</v>
      </c>
      <c r="S838" s="0" t="s">
        <v>404</v>
      </c>
      <c r="T838" s="0">
        <f>HYPERLINK("https://storage.sslt.ae/ItemVariation/08DCFA78-106C-4C01-8850-375C92CC71AF/42BAD6C4-89C8-4777-B416-282EC8F51870.png","Variant Image")</f>
      </c>
      <c r="U838" s="0">
        <f>HYPERLINK("https://ec-qa-storage.kldlms.com/Item/08DCFA78-106C-4C01-8850-375C92CC71AF/390C7533-0C8D-4713-9DFE-B664B9A9EE32.png","Thumbnail Image")</f>
      </c>
      <c r="V838" s="0">
        <f>HYPERLINK("https://ec-qa-storage.kldlms.com/ItemGallery/08DCFA78-106C-4C01-8850-375C92CC71AF/C6A37989-D05B-4FEA-AF0C-20DBD68DBACB.png","Gallery Image ")</f>
      </c>
      <c r="W838" s="0" t="s">
        <v>22</v>
      </c>
      <c r="X838" s="0" t="s">
        <v>3409</v>
      </c>
    </row>
    <row r="839">
      <c r="A839" s="0" t="s">
        <v>3410</v>
      </c>
      <c r="B839" s="0" t="s">
        <v>3410</v>
      </c>
      <c r="C839" s="0" t="s">
        <v>3411</v>
      </c>
      <c r="D839" s="0" t="s">
        <v>27</v>
      </c>
      <c r="E839" s="0" t="s">
        <v>3127</v>
      </c>
      <c r="F839" s="0" t="s">
        <v>557</v>
      </c>
      <c r="G839" s="0" t="s">
        <v>3410</v>
      </c>
      <c r="H839" s="0" t="s">
        <v>3410</v>
      </c>
      <c r="I839" s="0" t="s">
        <v>615</v>
      </c>
      <c r="J839" s="0" t="s">
        <v>615</v>
      </c>
      <c r="K839" s="0" t="s">
        <v>3412</v>
      </c>
      <c r="L839" s="0" t="s">
        <v>32</v>
      </c>
      <c r="M839" s="0" t="s">
        <v>33</v>
      </c>
      <c r="N839" s="0" t="s">
        <v>142</v>
      </c>
      <c r="O839" s="0" t="s">
        <v>35</v>
      </c>
      <c r="P839" s="0" t="s">
        <v>39</v>
      </c>
      <c r="Q839" s="0" t="s">
        <v>3413</v>
      </c>
      <c r="R839" s="0" t="s">
        <v>3411</v>
      </c>
      <c r="S839" s="0" t="s">
        <v>142</v>
      </c>
      <c r="T839" s="0">
        <f>HYPERLINK("https://storage.sslt.ae/ItemVariation/08DCFA78-10C8-4E8F-8A04-3375DDD9C273/2B86FDCA-4722-4F2D-9A5E-604C03FAF099.png","Variant Image")</f>
      </c>
      <c r="U839" s="0">
        <f>HYPERLINK("https://ec-qa-storage.kldlms.com/Item/08DCFA78-10C8-4E8F-8A04-3375DDD9C273/ABE63D40-2F43-4167-B465-9608DB09E9CE.png","Thumbnail Image")</f>
      </c>
      <c r="V839" s="0">
        <f>HYPERLINK("https://ec-qa-storage.kldlms.com/ItemGallery/08DCFA78-10C8-4E8F-8A04-3375DDD9C273/FEF6D028-EFDC-4B91-B5F0-48C96C024C57.png","Gallery Image ")</f>
      </c>
      <c r="W839" s="0" t="s">
        <v>22</v>
      </c>
      <c r="X839" s="0" t="s">
        <v>3414</v>
      </c>
    </row>
    <row r="840">
      <c r="A840" s="0" t="s">
        <v>3415</v>
      </c>
      <c r="B840" s="0" t="s">
        <v>3415</v>
      </c>
      <c r="C840" s="0" t="s">
        <v>3416</v>
      </c>
      <c r="D840" s="0" t="s">
        <v>27</v>
      </c>
      <c r="E840" s="0" t="s">
        <v>3127</v>
      </c>
      <c r="F840" s="0" t="s">
        <v>557</v>
      </c>
      <c r="G840" s="0" t="s">
        <v>3415</v>
      </c>
      <c r="H840" s="0" t="s">
        <v>3415</v>
      </c>
      <c r="I840" s="0" t="s">
        <v>615</v>
      </c>
      <c r="J840" s="0" t="s">
        <v>615</v>
      </c>
      <c r="K840" s="0" t="s">
        <v>3412</v>
      </c>
      <c r="L840" s="0" t="s">
        <v>32</v>
      </c>
      <c r="M840" s="0" t="s">
        <v>33</v>
      </c>
      <c r="N840" s="0" t="s">
        <v>1119</v>
      </c>
      <c r="O840" s="0" t="s">
        <v>35</v>
      </c>
      <c r="P840" s="0" t="s">
        <v>39</v>
      </c>
      <c r="Q840" s="0" t="s">
        <v>3413</v>
      </c>
      <c r="R840" s="0" t="s">
        <v>3416</v>
      </c>
      <c r="S840" s="0" t="s">
        <v>1119</v>
      </c>
      <c r="T840" s="0">
        <f>HYPERLINK("https://storage.sslt.ae/ItemVariation/08DCFA78-11A0-4E25-8183-22C976964FF2/017D8BCA-4CDF-48CE-A8C2-F9CC57C686D4.png","Variant Image")</f>
      </c>
      <c r="U840" s="0">
        <f>HYPERLINK("https://ec-qa-storage.kldlms.com/Item/08DCFA78-11A0-4E25-8183-22C976964FF2/354D90DA-1B37-4B32-BCCD-CE59A1F74178.png","Thumbnail Image")</f>
      </c>
      <c r="V840" s="0">
        <f>HYPERLINK("https://ec-qa-storage.kldlms.com/ItemGallery/08DCFA78-11A0-4E25-8183-22C976964FF2/29428C63-99F1-4D93-90DA-B8BF66ECBB7B.png","Gallery Image ")</f>
      </c>
      <c r="W840" s="0" t="s">
        <v>22</v>
      </c>
      <c r="X840" s="0" t="s">
        <v>3417</v>
      </c>
    </row>
    <row r="841">
      <c r="A841" s="0" t="s">
        <v>3402</v>
      </c>
      <c r="B841" s="0" t="s">
        <v>3402</v>
      </c>
      <c r="C841" s="0" t="s">
        <v>3418</v>
      </c>
      <c r="D841" s="0" t="s">
        <v>27</v>
      </c>
      <c r="E841" s="0" t="s">
        <v>3127</v>
      </c>
      <c r="F841" s="0" t="s">
        <v>557</v>
      </c>
      <c r="G841" s="0" t="s">
        <v>3402</v>
      </c>
      <c r="H841" s="0" t="s">
        <v>3402</v>
      </c>
      <c r="I841" s="0" t="s">
        <v>615</v>
      </c>
      <c r="J841" s="0" t="s">
        <v>615</v>
      </c>
      <c r="K841" s="0" t="s">
        <v>2342</v>
      </c>
      <c r="L841" s="0" t="s">
        <v>32</v>
      </c>
      <c r="M841" s="0" t="s">
        <v>33</v>
      </c>
      <c r="N841" s="0" t="s">
        <v>142</v>
      </c>
      <c r="O841" s="0" t="s">
        <v>35</v>
      </c>
      <c r="P841" s="0" t="s">
        <v>39</v>
      </c>
      <c r="Q841" s="0" t="s">
        <v>2343</v>
      </c>
      <c r="R841" s="0" t="s">
        <v>3418</v>
      </c>
      <c r="S841" s="0" t="s">
        <v>142</v>
      </c>
      <c r="T841" s="0">
        <f>HYPERLINK("https://storage.sslt.ae/ItemVariation/08DCFA78-11FB-4DD1-8B76-45122F93CAD9/B908EABD-AD79-43B1-B37B-BCE864CFE00C.png","Variant Image")</f>
      </c>
      <c r="U841" s="0">
        <f>HYPERLINK("https://ec-qa-storage.kldlms.com/Item/08DCFA78-11FB-4DD1-8B76-45122F93CAD9/35323E8B-32B5-438B-944F-1E3FB0EEDFB8.png","Thumbnail Image")</f>
      </c>
      <c r="V841" s="0">
        <f>HYPERLINK("https://ec-qa-storage.kldlms.com/ItemGallery/08DCFA78-11FB-4DD1-8B76-45122F93CAD9/F32155D2-28CB-4317-AE60-31C01DA40A63.png","Gallery Image ")</f>
      </c>
      <c r="W841" s="0" t="s">
        <v>22</v>
      </c>
      <c r="X841" s="0" t="s">
        <v>3419</v>
      </c>
    </row>
    <row r="842">
      <c r="A842" s="0" t="s">
        <v>3420</v>
      </c>
      <c r="B842" s="0" t="s">
        <v>3420</v>
      </c>
      <c r="C842" s="0" t="s">
        <v>3421</v>
      </c>
      <c r="D842" s="0" t="s">
        <v>27</v>
      </c>
      <c r="E842" s="0" t="s">
        <v>3127</v>
      </c>
      <c r="F842" s="0" t="s">
        <v>557</v>
      </c>
      <c r="G842" s="0" t="s">
        <v>3420</v>
      </c>
      <c r="H842" s="0" t="s">
        <v>3420</v>
      </c>
      <c r="I842" s="0" t="s">
        <v>615</v>
      </c>
      <c r="J842" s="0" t="s">
        <v>615</v>
      </c>
      <c r="K842" s="0" t="s">
        <v>3422</v>
      </c>
      <c r="L842" s="0" t="s">
        <v>32</v>
      </c>
      <c r="M842" s="0" t="s">
        <v>33</v>
      </c>
      <c r="N842" s="0" t="s">
        <v>142</v>
      </c>
      <c r="O842" s="0" t="s">
        <v>35</v>
      </c>
      <c r="P842" s="0" t="s">
        <v>39</v>
      </c>
      <c r="Q842" s="0" t="s">
        <v>3423</v>
      </c>
      <c r="R842" s="0" t="s">
        <v>3421</v>
      </c>
      <c r="S842" s="0" t="s">
        <v>142</v>
      </c>
      <c r="T842" s="0">
        <f>HYPERLINK("https://storage.sslt.ae/ItemVariation/08DCFA78-1258-4B73-8C8A-156C2B6F58B7/06C34064-22E8-4873-B984-A3981F2D3BB1.png","Variant Image")</f>
      </c>
      <c r="U842" s="0">
        <f>HYPERLINK("https://ec-qa-storage.kldlms.com/Item/08DCFA78-1258-4B73-8C8A-156C2B6F58B7/B2AB0BA8-BFF0-4048-B170-64857175DA57.png","Thumbnail Image")</f>
      </c>
      <c r="V842" s="0">
        <f>HYPERLINK("https://ec-qa-storage.kldlms.com/ItemGallery/08DCFA78-1258-4B73-8C8A-156C2B6F58B7/04781857-0E9B-4072-AEB5-B31980D0C77B.png","Gallery Image ")</f>
      </c>
      <c r="W842" s="0" t="s">
        <v>22</v>
      </c>
      <c r="X842" s="0" t="s">
        <v>3424</v>
      </c>
    </row>
    <row r="843">
      <c r="A843" s="0" t="s">
        <v>3425</v>
      </c>
      <c r="B843" s="0" t="s">
        <v>3425</v>
      </c>
      <c r="C843" s="0" t="s">
        <v>3426</v>
      </c>
      <c r="D843" s="0" t="s">
        <v>27</v>
      </c>
      <c r="E843" s="0" t="s">
        <v>3127</v>
      </c>
      <c r="F843" s="0" t="s">
        <v>557</v>
      </c>
      <c r="G843" s="0" t="s">
        <v>3425</v>
      </c>
      <c r="H843" s="0" t="s">
        <v>3425</v>
      </c>
      <c r="I843" s="0" t="s">
        <v>615</v>
      </c>
      <c r="J843" s="0" t="s">
        <v>615</v>
      </c>
      <c r="K843" s="0" t="s">
        <v>3427</v>
      </c>
      <c r="L843" s="0" t="s">
        <v>32</v>
      </c>
      <c r="M843" s="0" t="s">
        <v>33</v>
      </c>
      <c r="N843" s="0" t="s">
        <v>1022</v>
      </c>
      <c r="O843" s="0" t="s">
        <v>35</v>
      </c>
      <c r="P843" s="0" t="s">
        <v>39</v>
      </c>
      <c r="Q843" s="0" t="s">
        <v>3428</v>
      </c>
      <c r="R843" s="0" t="s">
        <v>3426</v>
      </c>
      <c r="S843" s="0" t="s">
        <v>1022</v>
      </c>
      <c r="T843" s="0">
        <f>HYPERLINK("https://storage.sslt.ae/ItemVariation/08DCFA78-12B6-4299-875F-CF67B5718B29/EF866397-E3C9-4C88-B3B2-FA1F009C1201.png","Variant Image")</f>
      </c>
      <c r="U843" s="0">
        <f>HYPERLINK("https://ec-qa-storage.kldlms.com/Item/08DCFA78-12B6-4299-875F-CF67B5718B29/52427833-A5F7-47DD-9D44-93D47C73A07A.png","Thumbnail Image")</f>
      </c>
      <c r="V843" s="0">
        <f>HYPERLINK("https://ec-qa-storage.kldlms.com/ItemGallery/08DCFA78-12B6-4299-875F-CF67B5718B29/9D846906-A3F6-4F3F-979E-A997346942DF.png","Gallery Image ")</f>
      </c>
      <c r="W843" s="0" t="s">
        <v>22</v>
      </c>
      <c r="X843" s="0" t="s">
        <v>3429</v>
      </c>
    </row>
    <row r="844">
      <c r="A844" s="0" t="s">
        <v>3430</v>
      </c>
      <c r="B844" s="0" t="s">
        <v>3430</v>
      </c>
      <c r="C844" s="0" t="s">
        <v>3431</v>
      </c>
      <c r="D844" s="0" t="s">
        <v>27</v>
      </c>
      <c r="E844" s="0" t="s">
        <v>3127</v>
      </c>
      <c r="F844" s="0" t="s">
        <v>557</v>
      </c>
      <c r="G844" s="0" t="s">
        <v>3430</v>
      </c>
      <c r="H844" s="0" t="s">
        <v>3430</v>
      </c>
      <c r="I844" s="0" t="s">
        <v>615</v>
      </c>
      <c r="J844" s="0" t="s">
        <v>615</v>
      </c>
      <c r="K844" s="0" t="s">
        <v>3432</v>
      </c>
      <c r="L844" s="0" t="s">
        <v>32</v>
      </c>
      <c r="M844" s="0" t="s">
        <v>33</v>
      </c>
      <c r="N844" s="0" t="s">
        <v>787</v>
      </c>
      <c r="O844" s="0" t="s">
        <v>35</v>
      </c>
      <c r="P844" s="0" t="s">
        <v>39</v>
      </c>
      <c r="Q844" s="0" t="s">
        <v>3433</v>
      </c>
      <c r="R844" s="0" t="s">
        <v>3431</v>
      </c>
      <c r="S844" s="0" t="s">
        <v>787</v>
      </c>
      <c r="T844" s="0">
        <f>HYPERLINK("https://storage.sslt.ae/ItemVariation/08DCFA78-1313-492D-8592-408915861BDA/667E7A86-8CD3-4A53-8C9B-20D8440E3102.png","Variant Image")</f>
      </c>
      <c r="U844" s="0">
        <f>HYPERLINK("https://ec-qa-storage.kldlms.com/Item/08DCFA78-1313-492D-8592-408915861BDA/E5F174A2-EC60-4605-8367-07DC822C7959.png","Thumbnail Image")</f>
      </c>
      <c r="V844" s="0">
        <f>HYPERLINK("https://ec-qa-storage.kldlms.com/ItemGallery/08DCFA78-1313-492D-8592-408915861BDA/B00CDD76-C0C4-4753-B712-B2774E7E2BC2.png","Gallery Image ")</f>
      </c>
      <c r="W844" s="0" t="s">
        <v>22</v>
      </c>
      <c r="X844" s="0" t="s">
        <v>3434</v>
      </c>
    </row>
    <row r="845">
      <c r="A845" s="0" t="s">
        <v>3435</v>
      </c>
      <c r="B845" s="0" t="s">
        <v>3435</v>
      </c>
      <c r="C845" s="0" t="s">
        <v>3436</v>
      </c>
      <c r="D845" s="0" t="s">
        <v>27</v>
      </c>
      <c r="E845" s="0" t="s">
        <v>3127</v>
      </c>
      <c r="F845" s="0" t="s">
        <v>557</v>
      </c>
      <c r="G845" s="0" t="s">
        <v>3435</v>
      </c>
      <c r="H845" s="0" t="s">
        <v>3435</v>
      </c>
      <c r="I845" s="0" t="s">
        <v>615</v>
      </c>
      <c r="J845" s="0" t="s">
        <v>615</v>
      </c>
      <c r="K845" s="0" t="s">
        <v>3437</v>
      </c>
      <c r="L845" s="0" t="s">
        <v>32</v>
      </c>
      <c r="M845" s="0" t="s">
        <v>33</v>
      </c>
      <c r="N845" s="0" t="s">
        <v>209</v>
      </c>
      <c r="O845" s="0" t="s">
        <v>35</v>
      </c>
      <c r="P845" s="0" t="s">
        <v>39</v>
      </c>
      <c r="Q845" s="0" t="s">
        <v>3438</v>
      </c>
      <c r="R845" s="0" t="s">
        <v>3436</v>
      </c>
      <c r="S845" s="0" t="s">
        <v>209</v>
      </c>
      <c r="T845" s="0">
        <f>HYPERLINK("https://storage.sslt.ae/ItemVariation/08DCFA78-136F-4666-89E0-6BBC6EDBB8AB/050AF7D1-61F7-4484-A34D-2642D98C7A92.png","Variant Image")</f>
      </c>
      <c r="U845" s="0">
        <f>HYPERLINK("https://ec-qa-storage.kldlms.com/Item/08DCFA78-136F-4666-89E0-6BBC6EDBB8AB/862F4501-7114-4958-93F0-3856A5896BCA.png","Thumbnail Image")</f>
      </c>
      <c r="V845" s="0">
        <f>HYPERLINK("https://ec-qa-storage.kldlms.com/ItemGallery/08DCFA78-136F-4666-89E0-6BBC6EDBB8AB/63DA0B7D-0DFC-44DB-A7BC-12F105FA4BD3.png","Gallery Image ")</f>
      </c>
      <c r="W845" s="0" t="s">
        <v>22</v>
      </c>
      <c r="X845" s="0" t="s">
        <v>3439</v>
      </c>
    </row>
    <row r="846">
      <c r="A846" s="0" t="s">
        <v>3440</v>
      </c>
      <c r="B846" s="0" t="s">
        <v>3440</v>
      </c>
      <c r="C846" s="0" t="s">
        <v>3441</v>
      </c>
      <c r="D846" s="0" t="s">
        <v>27</v>
      </c>
      <c r="E846" s="0" t="s">
        <v>3127</v>
      </c>
      <c r="F846" s="0" t="s">
        <v>557</v>
      </c>
      <c r="G846" s="0" t="s">
        <v>3440</v>
      </c>
      <c r="H846" s="0" t="s">
        <v>3440</v>
      </c>
      <c r="I846" s="0" t="s">
        <v>615</v>
      </c>
      <c r="J846" s="0" t="s">
        <v>615</v>
      </c>
      <c r="K846" s="0" t="s">
        <v>3442</v>
      </c>
      <c r="L846" s="0" t="s">
        <v>32</v>
      </c>
      <c r="M846" s="0" t="s">
        <v>33</v>
      </c>
      <c r="N846" s="0" t="s">
        <v>232</v>
      </c>
      <c r="O846" s="0" t="s">
        <v>35</v>
      </c>
      <c r="P846" s="0" t="s">
        <v>39</v>
      </c>
      <c r="Q846" s="0" t="s">
        <v>3443</v>
      </c>
      <c r="R846" s="0" t="s">
        <v>3441</v>
      </c>
      <c r="S846" s="0" t="s">
        <v>232</v>
      </c>
      <c r="T846" s="0">
        <f>HYPERLINK("https://storage.sslt.ae/ItemVariation/08DCFA78-13CB-42E7-8B5C-6A9362E3A1B3/78368082-3092-4B54-BAF2-43549704A8D3.png","Variant Image")</f>
      </c>
      <c r="U846" s="0">
        <f>HYPERLINK("https://ec-qa-storage.kldlms.com/Item/08DCFA78-13CB-42E7-8B5C-6A9362E3A1B3/DE214603-A0B2-416F-A35F-FFC046FD50A4.png","Thumbnail Image")</f>
      </c>
      <c r="V846" s="0">
        <f>HYPERLINK("https://ec-qa-storage.kldlms.com/ItemGallery/08DCFA78-13CB-42E7-8B5C-6A9362E3A1B3/9DEB112F-21A8-41B0-9AF6-0422B6276F9D.png","Gallery Image ")</f>
      </c>
      <c r="W846" s="0" t="s">
        <v>22</v>
      </c>
      <c r="X846" s="0" t="s">
        <v>3444</v>
      </c>
    </row>
    <row r="847">
      <c r="A847" s="0" t="s">
        <v>3445</v>
      </c>
      <c r="B847" s="0" t="s">
        <v>3445</v>
      </c>
      <c r="C847" s="0" t="s">
        <v>3446</v>
      </c>
      <c r="D847" s="0" t="s">
        <v>27</v>
      </c>
      <c r="E847" s="0" t="s">
        <v>3127</v>
      </c>
      <c r="F847" s="0" t="s">
        <v>557</v>
      </c>
      <c r="G847" s="0" t="s">
        <v>3445</v>
      </c>
      <c r="H847" s="0" t="s">
        <v>3445</v>
      </c>
      <c r="I847" s="0" t="s">
        <v>615</v>
      </c>
      <c r="J847" s="0" t="s">
        <v>615</v>
      </c>
      <c r="K847" s="0" t="s">
        <v>559</v>
      </c>
      <c r="L847" s="0" t="s">
        <v>32</v>
      </c>
      <c r="M847" s="0" t="s">
        <v>33</v>
      </c>
      <c r="N847" s="0" t="s">
        <v>2192</v>
      </c>
      <c r="O847" s="0" t="s">
        <v>35</v>
      </c>
      <c r="P847" s="0" t="s">
        <v>39</v>
      </c>
      <c r="Q847" s="0" t="s">
        <v>561</v>
      </c>
      <c r="R847" s="0" t="s">
        <v>3446</v>
      </c>
      <c r="S847" s="0" t="s">
        <v>2192</v>
      </c>
      <c r="T847" s="0">
        <f>HYPERLINK("https://storage.sslt.ae/ItemVariation/08DCFA78-1427-496A-8572-F305DAF91380/1F421E1D-94B4-4017-B99B-93867818EE93.png","Variant Image")</f>
      </c>
      <c r="U847" s="0">
        <f>HYPERLINK("https://ec-qa-storage.kldlms.com/Item/08DCFA78-1427-496A-8572-F305DAF91380/4272A9E8-BDD6-481B-8FF8-330E528615D8.png","Thumbnail Image")</f>
      </c>
      <c r="V847" s="0">
        <f>HYPERLINK("https://ec-qa-storage.kldlms.com/ItemGallery/08DCFA78-1427-496A-8572-F305DAF91380/EFA7F9D1-5666-4820-9886-105DA3C9540C.png","Gallery Image ")</f>
      </c>
      <c r="W847" s="0" t="s">
        <v>22</v>
      </c>
      <c r="X847" s="0" t="s">
        <v>3447</v>
      </c>
    </row>
    <row r="848">
      <c r="A848" s="0" t="s">
        <v>3448</v>
      </c>
      <c r="B848" s="0" t="s">
        <v>3448</v>
      </c>
      <c r="C848" s="0" t="s">
        <v>3449</v>
      </c>
      <c r="D848" s="0" t="s">
        <v>27</v>
      </c>
      <c r="E848" s="0" t="s">
        <v>3127</v>
      </c>
      <c r="F848" s="0" t="s">
        <v>557</v>
      </c>
      <c r="G848" s="0" t="s">
        <v>3448</v>
      </c>
      <c r="H848" s="0" t="s">
        <v>3448</v>
      </c>
      <c r="I848" s="0" t="s">
        <v>615</v>
      </c>
      <c r="J848" s="0" t="s">
        <v>615</v>
      </c>
      <c r="K848" s="0" t="s">
        <v>3450</v>
      </c>
      <c r="L848" s="0" t="s">
        <v>32</v>
      </c>
      <c r="M848" s="0" t="s">
        <v>33</v>
      </c>
      <c r="N848" s="0" t="s">
        <v>1283</v>
      </c>
      <c r="O848" s="0" t="s">
        <v>35</v>
      </c>
      <c r="P848" s="0" t="s">
        <v>39</v>
      </c>
      <c r="Q848" s="0" t="s">
        <v>3451</v>
      </c>
      <c r="R848" s="0" t="s">
        <v>3449</v>
      </c>
      <c r="S848" s="0" t="s">
        <v>1283</v>
      </c>
      <c r="T848" s="0">
        <f>HYPERLINK("https://storage.sslt.ae/ItemVariation/08DCFA78-1484-416F-8BFC-B5C585A233B0/D1541A73-3894-427D-B53B-C18A8B44288E.png","Variant Image")</f>
      </c>
      <c r="U848" s="0">
        <f>HYPERLINK("https://ec-qa-storage.kldlms.com/Item/08DCFA78-1484-416F-8BFC-B5C585A233B0/4BEC394E-3F55-4A7D-B2B7-2029C84A5832.png","Thumbnail Image")</f>
      </c>
      <c r="V848" s="0">
        <f>HYPERLINK("https://ec-qa-storage.kldlms.com/ItemGallery/08DCFA78-1484-416F-8BFC-B5C585A233B0/0D07856D-4F2E-4652-839F-123A0BFAC68B.png","Gallery Image ")</f>
      </c>
      <c r="W848" s="0" t="s">
        <v>22</v>
      </c>
      <c r="X848" s="0" t="s">
        <v>3452</v>
      </c>
    </row>
    <row r="849">
      <c r="A849" s="0" t="s">
        <v>3453</v>
      </c>
      <c r="B849" s="0" t="s">
        <v>3453</v>
      </c>
      <c r="C849" s="0" t="s">
        <v>3454</v>
      </c>
      <c r="D849" s="0" t="s">
        <v>27</v>
      </c>
      <c r="E849" s="0" t="s">
        <v>3127</v>
      </c>
      <c r="F849" s="0" t="s">
        <v>557</v>
      </c>
      <c r="G849" s="0" t="s">
        <v>3453</v>
      </c>
      <c r="H849" s="0" t="s">
        <v>3453</v>
      </c>
      <c r="I849" s="0" t="s">
        <v>615</v>
      </c>
      <c r="J849" s="0" t="s">
        <v>615</v>
      </c>
      <c r="K849" s="0" t="s">
        <v>3455</v>
      </c>
      <c r="L849" s="0" t="s">
        <v>32</v>
      </c>
      <c r="M849" s="0" t="s">
        <v>33</v>
      </c>
      <c r="N849" s="0" t="s">
        <v>160</v>
      </c>
      <c r="O849" s="0" t="s">
        <v>35</v>
      </c>
      <c r="P849" s="0" t="s">
        <v>39</v>
      </c>
      <c r="Q849" s="0" t="s">
        <v>3456</v>
      </c>
      <c r="R849" s="0" t="s">
        <v>3454</v>
      </c>
      <c r="S849" s="0" t="s">
        <v>160</v>
      </c>
      <c r="T849" s="0">
        <f>HYPERLINK("https://storage.sslt.ae/ItemVariation/08DCFA78-14E0-4440-8CBE-9F0E213B4AB1/49681FDC-6654-4823-B3F2-B65993F0BFB7.png","Variant Image")</f>
      </c>
      <c r="U849" s="0">
        <f>HYPERLINK("https://ec-qa-storage.kldlms.com/Item/08DCFA78-14E0-4440-8CBE-9F0E213B4AB1/40E748CC-802E-4354-B97F-A01F386D2D2A.png","Thumbnail Image")</f>
      </c>
      <c r="V849" s="0">
        <f>HYPERLINK("https://ec-qa-storage.kldlms.com/ItemGallery/08DCFA78-14E0-4440-8CBE-9F0E213B4AB1/790E88C5-4168-48A3-9E56-9AD38249E49B.png","Gallery Image ")</f>
      </c>
      <c r="W849" s="0" t="s">
        <v>22</v>
      </c>
      <c r="X849" s="0" t="s">
        <v>3457</v>
      </c>
    </row>
    <row r="850">
      <c r="A850" s="0" t="s">
        <v>3453</v>
      </c>
      <c r="B850" s="0" t="s">
        <v>3453</v>
      </c>
      <c r="C850" s="0" t="s">
        <v>3458</v>
      </c>
      <c r="D850" s="0" t="s">
        <v>27</v>
      </c>
      <c r="E850" s="0" t="s">
        <v>3127</v>
      </c>
      <c r="F850" s="0" t="s">
        <v>557</v>
      </c>
      <c r="G850" s="0" t="s">
        <v>3453</v>
      </c>
      <c r="H850" s="0" t="s">
        <v>3453</v>
      </c>
      <c r="I850" s="0" t="s">
        <v>615</v>
      </c>
      <c r="J850" s="0" t="s">
        <v>615</v>
      </c>
      <c r="K850" s="0" t="s">
        <v>3459</v>
      </c>
      <c r="L850" s="0" t="s">
        <v>32</v>
      </c>
      <c r="M850" s="0" t="s">
        <v>33</v>
      </c>
      <c r="N850" s="0" t="s">
        <v>276</v>
      </c>
      <c r="O850" s="0" t="s">
        <v>35</v>
      </c>
      <c r="P850" s="0" t="s">
        <v>39</v>
      </c>
      <c r="Q850" s="0" t="s">
        <v>3460</v>
      </c>
      <c r="R850" s="0" t="s">
        <v>3458</v>
      </c>
      <c r="S850" s="0" t="s">
        <v>276</v>
      </c>
      <c r="T850" s="0">
        <f>HYPERLINK("https://storage.sslt.ae/ItemVariation/08DCFA78-154D-42E2-8E06-7A64A86D2C3D/E52A7AEF-B97E-4315-A645-59FDBDBA456D.png","Variant Image")</f>
      </c>
      <c r="U850" s="0">
        <f>HYPERLINK("https://ec-qa-storage.kldlms.com/Item/08DCFA78-154D-42E2-8E06-7A64A86D2C3D/76F9132C-811D-4A23-9655-D5AA0FEC0564.png","Thumbnail Image")</f>
      </c>
      <c r="V850" s="0">
        <f>HYPERLINK("https://ec-qa-storage.kldlms.com/ItemGallery/08DCFA78-154D-42E2-8E06-7A64A86D2C3D/67EC28E2-85DD-4902-A0FD-F5BB2E184E1D.png","Gallery Image ")</f>
      </c>
      <c r="W850" s="0" t="s">
        <v>22</v>
      </c>
      <c r="X850" s="0" t="s">
        <v>3461</v>
      </c>
    </row>
    <row r="851">
      <c r="A851" s="0" t="s">
        <v>3462</v>
      </c>
      <c r="B851" s="0" t="s">
        <v>3462</v>
      </c>
      <c r="C851" s="0" t="s">
        <v>3463</v>
      </c>
      <c r="D851" s="0" t="s">
        <v>27</v>
      </c>
      <c r="E851" s="0" t="s">
        <v>3127</v>
      </c>
      <c r="F851" s="0" t="s">
        <v>557</v>
      </c>
      <c r="G851" s="0" t="s">
        <v>3462</v>
      </c>
      <c r="H851" s="0" t="s">
        <v>3462</v>
      </c>
      <c r="I851" s="0" t="s">
        <v>615</v>
      </c>
      <c r="J851" s="0" t="s">
        <v>615</v>
      </c>
      <c r="K851" s="0" t="s">
        <v>3464</v>
      </c>
      <c r="L851" s="0" t="s">
        <v>32</v>
      </c>
      <c r="M851" s="0" t="s">
        <v>33</v>
      </c>
      <c r="N851" s="0" t="s">
        <v>787</v>
      </c>
      <c r="O851" s="0" t="s">
        <v>35</v>
      </c>
      <c r="P851" s="0" t="s">
        <v>39</v>
      </c>
      <c r="Q851" s="0" t="s">
        <v>3465</v>
      </c>
      <c r="R851" s="0" t="s">
        <v>3463</v>
      </c>
      <c r="S851" s="0" t="s">
        <v>787</v>
      </c>
      <c r="T851" s="0">
        <f>HYPERLINK("https://storage.sslt.ae/ItemVariation/08DCFA78-15A7-4C7B-8EB4-49BEFBD6C663/EB3957B0-CE41-4D51-B5EA-1FAE976A2702.png","Variant Image")</f>
      </c>
      <c r="U851" s="0">
        <f>HYPERLINK("https://ec-qa-storage.kldlms.com/Item/08DCFA78-15A7-4C7B-8EB4-49BEFBD6C663/E335DD50-0F34-4B80-9647-48990BB7CB5E.png","Thumbnail Image")</f>
      </c>
      <c r="V851" s="0">
        <f>HYPERLINK("https://ec-qa-storage.kldlms.com/ItemGallery/08DCFA78-15A7-4C7B-8EB4-49BEFBD6C663/8728D4EA-2466-4545-ADBF-E2FE7FA6578F.png","Gallery Image ")</f>
      </c>
      <c r="W851" s="0" t="s">
        <v>22</v>
      </c>
      <c r="X851" s="0" t="s">
        <v>3466</v>
      </c>
    </row>
    <row r="852">
      <c r="A852" s="0" t="s">
        <v>3467</v>
      </c>
      <c r="B852" s="0" t="s">
        <v>3467</v>
      </c>
      <c r="C852" s="0" t="s">
        <v>3468</v>
      </c>
      <c r="D852" s="0" t="s">
        <v>27</v>
      </c>
      <c r="E852" s="0" t="s">
        <v>3127</v>
      </c>
      <c r="F852" s="0" t="s">
        <v>557</v>
      </c>
      <c r="G852" s="0" t="s">
        <v>3467</v>
      </c>
      <c r="H852" s="0" t="s">
        <v>3467</v>
      </c>
      <c r="I852" s="0" t="s">
        <v>615</v>
      </c>
      <c r="J852" s="0" t="s">
        <v>615</v>
      </c>
      <c r="K852" s="0" t="s">
        <v>3469</v>
      </c>
      <c r="L852" s="0" t="s">
        <v>32</v>
      </c>
      <c r="M852" s="0" t="s">
        <v>33</v>
      </c>
      <c r="N852" s="0" t="s">
        <v>851</v>
      </c>
      <c r="O852" s="0" t="s">
        <v>35</v>
      </c>
      <c r="P852" s="0" t="s">
        <v>39</v>
      </c>
      <c r="Q852" s="0" t="s">
        <v>3470</v>
      </c>
      <c r="R852" s="0" t="s">
        <v>3468</v>
      </c>
      <c r="S852" s="0" t="s">
        <v>851</v>
      </c>
      <c r="T852" s="0">
        <f>HYPERLINK("https://storage.sslt.ae/ItemVariation/08DCFA78-1604-4888-868C-BAD8BB012ABB/58AB3431-EBDD-41A9-82A2-8EE7E3CCC852.png","Variant Image")</f>
      </c>
      <c r="U852" s="0">
        <f>HYPERLINK("https://ec-qa-storage.kldlms.com/Item/08DCFA78-1604-4888-868C-BAD8BB012ABB/829C346E-14A2-4696-9935-66C4398FDA85.png","Thumbnail Image")</f>
      </c>
      <c r="V852" s="0">
        <f>HYPERLINK("https://ec-qa-storage.kldlms.com/ItemGallery/08DCFA78-1604-4888-868C-BAD8BB012ABB/00FAF59A-3E4B-4CEC-8A1A-396DBDDF4365.png","Gallery Image ")</f>
      </c>
      <c r="W852" s="0" t="s">
        <v>22</v>
      </c>
      <c r="X852" s="0" t="s">
        <v>3471</v>
      </c>
    </row>
    <row r="853">
      <c r="A853" s="0" t="s">
        <v>3472</v>
      </c>
      <c r="B853" s="0" t="s">
        <v>3472</v>
      </c>
      <c r="C853" s="0" t="s">
        <v>3473</v>
      </c>
      <c r="D853" s="0" t="s">
        <v>27</v>
      </c>
      <c r="E853" s="0" t="s">
        <v>3127</v>
      </c>
      <c r="F853" s="0" t="s">
        <v>557</v>
      </c>
      <c r="G853" s="0" t="s">
        <v>3472</v>
      </c>
      <c r="H853" s="0" t="s">
        <v>3472</v>
      </c>
      <c r="I853" s="0" t="s">
        <v>615</v>
      </c>
      <c r="J853" s="0" t="s">
        <v>615</v>
      </c>
      <c r="K853" s="0" t="s">
        <v>3474</v>
      </c>
      <c r="L853" s="0" t="s">
        <v>32</v>
      </c>
      <c r="M853" s="0" t="s">
        <v>33</v>
      </c>
      <c r="N853" s="0" t="s">
        <v>1119</v>
      </c>
      <c r="O853" s="0" t="s">
        <v>35</v>
      </c>
      <c r="P853" s="0" t="s">
        <v>39</v>
      </c>
      <c r="Q853" s="0" t="s">
        <v>3475</v>
      </c>
      <c r="R853" s="0" t="s">
        <v>3473</v>
      </c>
      <c r="S853" s="0" t="s">
        <v>1119</v>
      </c>
      <c r="T853" s="0">
        <f>HYPERLINK("https://storage.sslt.ae/ItemVariation/08DCFA78-1660-4E1C-8668-7C336677561B/AAB15E59-8F23-4D30-A564-791B648BEF1D.png","Variant Image")</f>
      </c>
      <c r="U853" s="0">
        <f>HYPERLINK("https://ec-qa-storage.kldlms.com/Item/08DCFA78-1660-4E1C-8668-7C336677561B/34F2E7A2-4E96-41D9-8679-FD42CB6B53EF.png","Thumbnail Image")</f>
      </c>
      <c r="V853" s="0">
        <f>HYPERLINK("https://ec-qa-storage.kldlms.com/ItemGallery/08DCFA78-1660-4E1C-8668-7C336677561B/6982A8B4-54FD-4D4B-942C-340AF57AEAAE.png","Gallery Image ")</f>
      </c>
      <c r="W853" s="0" t="s">
        <v>22</v>
      </c>
      <c r="X853" s="0" t="s">
        <v>3476</v>
      </c>
    </row>
    <row r="854">
      <c r="A854" s="0" t="s">
        <v>3477</v>
      </c>
      <c r="B854" s="0" t="s">
        <v>3477</v>
      </c>
      <c r="C854" s="0" t="s">
        <v>3478</v>
      </c>
      <c r="D854" s="0" t="s">
        <v>27</v>
      </c>
      <c r="E854" s="0" t="s">
        <v>3127</v>
      </c>
      <c r="F854" s="0" t="s">
        <v>557</v>
      </c>
      <c r="G854" s="0" t="s">
        <v>3477</v>
      </c>
      <c r="H854" s="0" t="s">
        <v>3477</v>
      </c>
      <c r="I854" s="0" t="s">
        <v>615</v>
      </c>
      <c r="J854" s="0" t="s">
        <v>615</v>
      </c>
      <c r="K854" s="0" t="s">
        <v>3479</v>
      </c>
      <c r="L854" s="0" t="s">
        <v>32</v>
      </c>
      <c r="M854" s="0" t="s">
        <v>33</v>
      </c>
      <c r="N854" s="0" t="s">
        <v>205</v>
      </c>
      <c r="O854" s="0" t="s">
        <v>35</v>
      </c>
      <c r="P854" s="0" t="s">
        <v>39</v>
      </c>
      <c r="Q854" s="0" t="s">
        <v>3480</v>
      </c>
      <c r="R854" s="0" t="s">
        <v>3478</v>
      </c>
      <c r="S854" s="0" t="s">
        <v>205</v>
      </c>
      <c r="T854" s="0">
        <f>HYPERLINK("https://storage.sslt.ae/ItemVariation/08DCFA78-16BC-4B50-86E9-87FC3341D79C/6BAE6D14-8485-4D79-9DBD-C1AD24C6CFA3.png","Variant Image")</f>
      </c>
      <c r="U854" s="0">
        <f>HYPERLINK("https://ec-qa-storage.kldlms.com/Item/08DCFA78-16BC-4B50-86E9-87FC3341D79C/9461B2B8-0492-43B5-BCDF-F872F848C713.png","Thumbnail Image")</f>
      </c>
      <c r="V854" s="0">
        <f>HYPERLINK("https://ec-qa-storage.kldlms.com/ItemGallery/08DCFA78-16BC-4B50-86E9-87FC3341D79C/ADC7BD7E-D922-4664-97C9-6AAB5AC1C3E1.png","Gallery Image ")</f>
      </c>
      <c r="W854" s="0" t="s">
        <v>22</v>
      </c>
      <c r="X854" s="0" t="s">
        <v>3481</v>
      </c>
    </row>
    <row r="855">
      <c r="A855" s="0" t="s">
        <v>3482</v>
      </c>
      <c r="B855" s="0" t="s">
        <v>3482</v>
      </c>
      <c r="C855" s="0" t="s">
        <v>3483</v>
      </c>
      <c r="D855" s="0" t="s">
        <v>27</v>
      </c>
      <c r="E855" s="0" t="s">
        <v>3127</v>
      </c>
      <c r="F855" s="0" t="s">
        <v>557</v>
      </c>
      <c r="G855" s="0" t="s">
        <v>3482</v>
      </c>
      <c r="H855" s="0" t="s">
        <v>3482</v>
      </c>
      <c r="I855" s="0" t="s">
        <v>615</v>
      </c>
      <c r="J855" s="0" t="s">
        <v>615</v>
      </c>
      <c r="K855" s="0" t="s">
        <v>3087</v>
      </c>
      <c r="L855" s="0" t="s">
        <v>32</v>
      </c>
      <c r="M855" s="0" t="s">
        <v>33</v>
      </c>
      <c r="N855" s="0" t="s">
        <v>100</v>
      </c>
      <c r="O855" s="0" t="s">
        <v>35</v>
      </c>
      <c r="P855" s="0" t="s">
        <v>39</v>
      </c>
      <c r="Q855" s="0" t="s">
        <v>3088</v>
      </c>
      <c r="R855" s="0" t="s">
        <v>3483</v>
      </c>
      <c r="S855" s="0" t="s">
        <v>100</v>
      </c>
      <c r="T855" s="0">
        <f>HYPERLINK("https://storage.sslt.ae/ItemVariation/08DCFA78-1717-4F6E-8136-D66AB3E5C239/A5186136-340D-4325-988A-4F2D8E8EAA77.png","Variant Image")</f>
      </c>
      <c r="U855" s="0">
        <f>HYPERLINK("https://ec-qa-storage.kldlms.com/Item/08DCFA78-1717-4F6E-8136-D66AB3E5C239/8B21CEB9-3C76-42CC-8AAA-B04681D3068A.png","Thumbnail Image")</f>
      </c>
      <c r="V855" s="0">
        <f>HYPERLINK("https://ec-qa-storage.kldlms.com/ItemGallery/08DCFA78-1717-4F6E-8136-D66AB3E5C239/3CDE01C1-A987-4D8B-88F8-EE1C30DB7D90.png","Gallery Image ")</f>
      </c>
      <c r="W855" s="0" t="s">
        <v>22</v>
      </c>
      <c r="X855" s="0" t="s">
        <v>3484</v>
      </c>
    </row>
    <row r="856">
      <c r="A856" s="0" t="s">
        <v>3485</v>
      </c>
      <c r="B856" s="0" t="s">
        <v>3485</v>
      </c>
      <c r="C856" s="0" t="s">
        <v>3486</v>
      </c>
      <c r="D856" s="0" t="s">
        <v>27</v>
      </c>
      <c r="E856" s="0" t="s">
        <v>3127</v>
      </c>
      <c r="F856" s="0" t="s">
        <v>557</v>
      </c>
      <c r="G856" s="0" t="s">
        <v>3485</v>
      </c>
      <c r="H856" s="0" t="s">
        <v>3485</v>
      </c>
      <c r="I856" s="0" t="s">
        <v>615</v>
      </c>
      <c r="J856" s="0" t="s">
        <v>615</v>
      </c>
      <c r="K856" s="0" t="s">
        <v>3487</v>
      </c>
      <c r="L856" s="0" t="s">
        <v>32</v>
      </c>
      <c r="M856" s="0" t="s">
        <v>33</v>
      </c>
      <c r="N856" s="0" t="s">
        <v>232</v>
      </c>
      <c r="O856" s="0" t="s">
        <v>35</v>
      </c>
      <c r="P856" s="0" t="s">
        <v>39</v>
      </c>
      <c r="Q856" s="0" t="s">
        <v>3488</v>
      </c>
      <c r="R856" s="0" t="s">
        <v>3486</v>
      </c>
      <c r="S856" s="0" t="s">
        <v>232</v>
      </c>
      <c r="T856" s="0">
        <f>HYPERLINK("https://storage.sslt.ae/ItemVariation/08DCFA78-1773-4D19-8A6B-27382A4FF93B/97D3F37E-A986-45D2-8470-8125F4BF6F16.png","Variant Image")</f>
      </c>
      <c r="U856" s="0">
        <f>HYPERLINK("https://ec-qa-storage.kldlms.com/Item/08DCFA78-1773-4D19-8A6B-27382A4FF93B/3721F648-6A8B-4EDE-971B-DE8545B2C369.png","Thumbnail Image")</f>
      </c>
      <c r="V856" s="0">
        <f>HYPERLINK("https://ec-qa-storage.kldlms.com/ItemGallery/08DCFA78-1773-4D19-8A6B-27382A4FF93B/3FD76A3E-C7C8-4D6F-B317-24AE1CE12704.png","Gallery Image ")</f>
      </c>
      <c r="W856" s="0" t="s">
        <v>22</v>
      </c>
      <c r="X856" s="0" t="s">
        <v>3489</v>
      </c>
    </row>
    <row r="857">
      <c r="A857" s="0" t="s">
        <v>3490</v>
      </c>
      <c r="B857" s="0" t="s">
        <v>3490</v>
      </c>
      <c r="C857" s="0" t="s">
        <v>3491</v>
      </c>
      <c r="D857" s="0" t="s">
        <v>27</v>
      </c>
      <c r="E857" s="0" t="s">
        <v>3127</v>
      </c>
      <c r="F857" s="0" t="s">
        <v>557</v>
      </c>
      <c r="G857" s="0" t="s">
        <v>3490</v>
      </c>
      <c r="H857" s="0" t="s">
        <v>3490</v>
      </c>
      <c r="I857" s="0" t="s">
        <v>615</v>
      </c>
      <c r="J857" s="0" t="s">
        <v>615</v>
      </c>
      <c r="K857" s="0" t="s">
        <v>3492</v>
      </c>
      <c r="L857" s="0" t="s">
        <v>32</v>
      </c>
      <c r="M857" s="0" t="s">
        <v>33</v>
      </c>
      <c r="N857" s="0" t="s">
        <v>266</v>
      </c>
      <c r="O857" s="0" t="s">
        <v>35</v>
      </c>
      <c r="P857" s="0" t="s">
        <v>39</v>
      </c>
      <c r="Q857" s="0" t="s">
        <v>3493</v>
      </c>
      <c r="R857" s="0" t="s">
        <v>3491</v>
      </c>
      <c r="S857" s="0" t="s">
        <v>266</v>
      </c>
      <c r="T857" s="0">
        <f>HYPERLINK("https://storage.sslt.ae/ItemVariation/08DCFA78-17D0-457D-8B05-E3C6E73689A9/938DB4BC-6878-4EB8-A172-CC334DD02E1A.png","Variant Image")</f>
      </c>
      <c r="U857" s="0">
        <f>HYPERLINK("https://ec-qa-storage.kldlms.com/Item/08DCFA78-17D0-457D-8B05-E3C6E73689A9/7F9EE3A6-447F-4C97-847B-CC08E02B12C6.png","Thumbnail Image")</f>
      </c>
      <c r="V857" s="0">
        <f>HYPERLINK("https://ec-qa-storage.kldlms.com/ItemGallery/08DCFA78-17D0-457D-8B05-E3C6E73689A9/C4304719-0493-4097-B3A4-74A3C92BD672.png","Gallery Image ")</f>
      </c>
      <c r="W857" s="0" t="s">
        <v>22</v>
      </c>
      <c r="X857" s="0" t="s">
        <v>3494</v>
      </c>
    </row>
    <row r="858">
      <c r="A858" s="0" t="s">
        <v>3495</v>
      </c>
      <c r="B858" s="0" t="s">
        <v>3495</v>
      </c>
      <c r="C858" s="0" t="s">
        <v>3496</v>
      </c>
      <c r="D858" s="0" t="s">
        <v>27</v>
      </c>
      <c r="E858" s="0" t="s">
        <v>3127</v>
      </c>
      <c r="F858" s="0" t="s">
        <v>557</v>
      </c>
      <c r="G858" s="0" t="s">
        <v>3495</v>
      </c>
      <c r="H858" s="0" t="s">
        <v>3495</v>
      </c>
      <c r="I858" s="0" t="s">
        <v>615</v>
      </c>
      <c r="J858" s="0" t="s">
        <v>615</v>
      </c>
      <c r="K858" s="0" t="s">
        <v>559</v>
      </c>
      <c r="L858" s="0" t="s">
        <v>32</v>
      </c>
      <c r="M858" s="0" t="s">
        <v>33</v>
      </c>
      <c r="N858" s="0" t="s">
        <v>3497</v>
      </c>
      <c r="O858" s="0" t="s">
        <v>35</v>
      </c>
      <c r="P858" s="0" t="s">
        <v>39</v>
      </c>
      <c r="Q858" s="0" t="s">
        <v>561</v>
      </c>
      <c r="R858" s="0" t="s">
        <v>3496</v>
      </c>
      <c r="S858" s="0" t="s">
        <v>3497</v>
      </c>
      <c r="T858" s="0">
        <f>HYPERLINK("https://storage.sslt.ae/ItemVariation/08DCFA78-182B-4CB1-8092-A8005865C4A5/180098B8-148A-4BC2-8C64-57F1F5C30055.png","Variant Image")</f>
      </c>
      <c r="U858" s="0">
        <f>HYPERLINK("https://ec-qa-storage.kldlms.com/Item/08DCFA78-182B-4CB1-8092-A8005865C4A5/2BF010E4-F357-47E3-A6AF-5DB64844E823.png","Thumbnail Image")</f>
      </c>
      <c r="V858" s="0">
        <f>HYPERLINK("https://ec-qa-storage.kldlms.com/ItemGallery/08DCFA78-182B-4CB1-8092-A8005865C4A5/CD54E9C9-FE14-4B72-B0A1-31E3DB112925.png","Gallery Image ")</f>
      </c>
      <c r="W858" s="0" t="s">
        <v>22</v>
      </c>
      <c r="X858" s="0" t="s">
        <v>3498</v>
      </c>
    </row>
    <row r="859">
      <c r="A859" s="0" t="s">
        <v>3499</v>
      </c>
      <c r="B859" s="0" t="s">
        <v>3499</v>
      </c>
      <c r="C859" s="0" t="s">
        <v>3500</v>
      </c>
      <c r="D859" s="0" t="s">
        <v>27</v>
      </c>
      <c r="E859" s="0" t="s">
        <v>3127</v>
      </c>
      <c r="F859" s="0" t="s">
        <v>557</v>
      </c>
      <c r="G859" s="0" t="s">
        <v>3499</v>
      </c>
      <c r="H859" s="0" t="s">
        <v>3499</v>
      </c>
      <c r="I859" s="0" t="s">
        <v>615</v>
      </c>
      <c r="J859" s="0" t="s">
        <v>615</v>
      </c>
      <c r="K859" s="0" t="s">
        <v>3501</v>
      </c>
      <c r="L859" s="0" t="s">
        <v>32</v>
      </c>
      <c r="M859" s="0" t="s">
        <v>33</v>
      </c>
      <c r="N859" s="0" t="s">
        <v>276</v>
      </c>
      <c r="O859" s="0" t="s">
        <v>35</v>
      </c>
      <c r="P859" s="0" t="s">
        <v>39</v>
      </c>
      <c r="Q859" s="0" t="s">
        <v>3502</v>
      </c>
      <c r="R859" s="0" t="s">
        <v>3500</v>
      </c>
      <c r="S859" s="0" t="s">
        <v>276</v>
      </c>
      <c r="T859" s="0">
        <f>HYPERLINK("https://storage.sslt.ae/ItemVariation/08DCFA78-1882-4419-8DA1-57D0D11CC04C/8E2EAFD1-217E-491B-B64D-E30FB8DDDFEF.png","Variant Image")</f>
      </c>
      <c r="U859" s="0">
        <f>HYPERLINK("https://ec-qa-storage.kldlms.com/Item/08DCFA78-1882-4419-8DA1-57D0D11CC04C/A4932723-4C74-4864-8686-1715A6D59C90.png","Thumbnail Image")</f>
      </c>
      <c r="V859" s="0">
        <f>HYPERLINK("https://ec-qa-storage.kldlms.com/ItemGallery/08DCFA78-1882-4419-8DA1-57D0D11CC04C/C7F3FAD0-8DAB-469B-B621-79F0C14AB4EC.png","Gallery Image ")</f>
      </c>
      <c r="W859" s="0" t="s">
        <v>22</v>
      </c>
      <c r="X859" s="0" t="s">
        <v>3503</v>
      </c>
    </row>
    <row r="860">
      <c r="A860" s="0" t="s">
        <v>3504</v>
      </c>
      <c r="B860" s="0" t="s">
        <v>3504</v>
      </c>
      <c r="C860" s="0" t="s">
        <v>3505</v>
      </c>
      <c r="D860" s="0" t="s">
        <v>27</v>
      </c>
      <c r="E860" s="0" t="s">
        <v>3127</v>
      </c>
      <c r="F860" s="0" t="s">
        <v>557</v>
      </c>
      <c r="G860" s="0" t="s">
        <v>3504</v>
      </c>
      <c r="H860" s="0" t="s">
        <v>3504</v>
      </c>
      <c r="I860" s="0" t="s">
        <v>615</v>
      </c>
      <c r="J860" s="0" t="s">
        <v>615</v>
      </c>
      <c r="K860" s="0" t="s">
        <v>3506</v>
      </c>
      <c r="L860" s="0" t="s">
        <v>32</v>
      </c>
      <c r="M860" s="0" t="s">
        <v>33</v>
      </c>
      <c r="N860" s="0" t="s">
        <v>512</v>
      </c>
      <c r="O860" s="0" t="s">
        <v>35</v>
      </c>
      <c r="P860" s="0" t="s">
        <v>39</v>
      </c>
      <c r="Q860" s="0" t="s">
        <v>3507</v>
      </c>
      <c r="R860" s="0" t="s">
        <v>3505</v>
      </c>
      <c r="S860" s="0" t="s">
        <v>512</v>
      </c>
      <c r="T860" s="0">
        <f>HYPERLINK("https://storage.sslt.ae/ItemVariation/08DCFA78-18D5-429A-8A04-ED368EC771D7/215EE9B2-8D76-42DB-B874-7AD78B5D9A2B.png","Variant Image")</f>
      </c>
      <c r="U860" s="0">
        <f>HYPERLINK("https://ec-qa-storage.kldlms.com/Item/08DCFA78-18D5-429A-8A04-ED368EC771D7/8C0EDD2A-9423-46ED-A47E-00BEC72CEABF.png","Thumbnail Image")</f>
      </c>
      <c r="V860" s="0">
        <f>HYPERLINK("https://ec-qa-storage.kldlms.com/ItemGallery/08DCFA78-18D5-429A-8A04-ED368EC771D7/BE99F28F-4D86-48AC-80D5-1C01E992AC13.png","Gallery Image ")</f>
      </c>
      <c r="W860" s="0" t="s">
        <v>22</v>
      </c>
      <c r="X860" s="0" t="s">
        <v>3508</v>
      </c>
    </row>
    <row r="861">
      <c r="A861" s="0" t="s">
        <v>3509</v>
      </c>
      <c r="B861" s="0" t="s">
        <v>3509</v>
      </c>
      <c r="C861" s="0" t="s">
        <v>3510</v>
      </c>
      <c r="D861" s="0" t="s">
        <v>27</v>
      </c>
      <c r="E861" s="0" t="s">
        <v>3127</v>
      </c>
      <c r="F861" s="0" t="s">
        <v>557</v>
      </c>
      <c r="G861" s="0" t="s">
        <v>3509</v>
      </c>
      <c r="H861" s="0" t="s">
        <v>3509</v>
      </c>
      <c r="I861" s="0" t="s">
        <v>615</v>
      </c>
      <c r="J861" s="0" t="s">
        <v>615</v>
      </c>
      <c r="K861" s="0" t="s">
        <v>3511</v>
      </c>
      <c r="L861" s="0" t="s">
        <v>32</v>
      </c>
      <c r="M861" s="0" t="s">
        <v>33</v>
      </c>
      <c r="N861" s="0" t="s">
        <v>409</v>
      </c>
      <c r="O861" s="0" t="s">
        <v>35</v>
      </c>
      <c r="P861" s="0" t="s">
        <v>39</v>
      </c>
      <c r="Q861" s="0" t="s">
        <v>3512</v>
      </c>
      <c r="R861" s="0" t="s">
        <v>3510</v>
      </c>
      <c r="S861" s="0" t="s">
        <v>409</v>
      </c>
      <c r="T861" s="0">
        <f>HYPERLINK("https://storage.sslt.ae/ItemVariation/08DCFA78-1931-425A-8F20-9A34CEDE4FDB/CA5EE5D9-1EDD-47F1-AF5B-D982ACCE08D3.png","Variant Image")</f>
      </c>
      <c r="U861" s="0">
        <f>HYPERLINK("https://ec-qa-storage.kldlms.com/Item/08DCFA78-1931-425A-8F20-9A34CEDE4FDB/C673522D-52FD-4F17-9F04-03376449CBC1.png","Thumbnail Image")</f>
      </c>
      <c r="V861" s="0">
        <f>HYPERLINK("https://ec-qa-storage.kldlms.com/ItemGallery/08DCFA78-1931-425A-8F20-9A34CEDE4FDB/81761600-3D7A-4155-B24E-8E732A46AEAC.png","Gallery Image ")</f>
      </c>
      <c r="W861" s="0" t="s">
        <v>22</v>
      </c>
      <c r="X861" s="0" t="s">
        <v>3513</v>
      </c>
    </row>
    <row r="862">
      <c r="A862" s="0" t="s">
        <v>3514</v>
      </c>
      <c r="B862" s="0" t="s">
        <v>3514</v>
      </c>
      <c r="C862" s="0" t="s">
        <v>3515</v>
      </c>
      <c r="D862" s="0" t="s">
        <v>27</v>
      </c>
      <c r="E862" s="0" t="s">
        <v>3127</v>
      </c>
      <c r="F862" s="0" t="s">
        <v>557</v>
      </c>
      <c r="G862" s="0" t="s">
        <v>3514</v>
      </c>
      <c r="H862" s="0" t="s">
        <v>3514</v>
      </c>
      <c r="I862" s="0" t="s">
        <v>615</v>
      </c>
      <c r="J862" s="0" t="s">
        <v>615</v>
      </c>
      <c r="K862" s="0" t="s">
        <v>3516</v>
      </c>
      <c r="L862" s="0" t="s">
        <v>32</v>
      </c>
      <c r="M862" s="0" t="s">
        <v>33</v>
      </c>
      <c r="N862" s="0" t="s">
        <v>202</v>
      </c>
      <c r="O862" s="0" t="s">
        <v>35</v>
      </c>
      <c r="P862" s="0" t="s">
        <v>39</v>
      </c>
      <c r="Q862" s="0" t="s">
        <v>3517</v>
      </c>
      <c r="R862" s="0" t="s">
        <v>3515</v>
      </c>
      <c r="S862" s="0" t="s">
        <v>202</v>
      </c>
      <c r="T862" s="0">
        <f>HYPERLINK("https://storage.sslt.ae/ItemVariation/08DCFA78-198D-454E-8E0E-6F629C4C7CF5/8B7AFC46-0F11-4545-A5D1-E09862D0EE5D.png","Variant Image")</f>
      </c>
      <c r="U862" s="0">
        <f>HYPERLINK("https://ec-qa-storage.kldlms.com/Item/08DCFA78-198D-454E-8E0E-6F629C4C7CF5/39DB584B-9565-4B6F-8BF7-8A58B2A1966E.png","Thumbnail Image")</f>
      </c>
      <c r="V862" s="0">
        <f>HYPERLINK("https://ec-qa-storage.kldlms.com/ItemGallery/08DCFA78-198D-454E-8E0E-6F629C4C7CF5/D18D257C-8A2A-48E1-A597-B1B47F26F7EB.png","Gallery Image ")</f>
      </c>
      <c r="W862" s="0" t="s">
        <v>22</v>
      </c>
      <c r="X862" s="0" t="s">
        <v>3518</v>
      </c>
    </row>
    <row r="863">
      <c r="A863" s="0" t="s">
        <v>3519</v>
      </c>
      <c r="B863" s="0" t="s">
        <v>3519</v>
      </c>
      <c r="C863" s="0" t="s">
        <v>3520</v>
      </c>
      <c r="D863" s="0" t="s">
        <v>27</v>
      </c>
      <c r="E863" s="0" t="s">
        <v>3127</v>
      </c>
      <c r="F863" s="0" t="s">
        <v>557</v>
      </c>
      <c r="G863" s="0" t="s">
        <v>3519</v>
      </c>
      <c r="H863" s="0" t="s">
        <v>3519</v>
      </c>
      <c r="I863" s="0" t="s">
        <v>615</v>
      </c>
      <c r="J863" s="0" t="s">
        <v>615</v>
      </c>
      <c r="K863" s="0" t="s">
        <v>3521</v>
      </c>
      <c r="L863" s="0" t="s">
        <v>32</v>
      </c>
      <c r="M863" s="0" t="s">
        <v>33</v>
      </c>
      <c r="N863" s="0" t="s">
        <v>404</v>
      </c>
      <c r="O863" s="0" t="s">
        <v>35</v>
      </c>
      <c r="P863" s="0" t="s">
        <v>39</v>
      </c>
      <c r="Q863" s="0" t="s">
        <v>3522</v>
      </c>
      <c r="R863" s="0" t="s">
        <v>3520</v>
      </c>
      <c r="S863" s="0" t="s">
        <v>404</v>
      </c>
      <c r="T863" s="0">
        <f>HYPERLINK("https://storage.sslt.ae/ItemVariation/08DCFA78-19E9-4207-8282-622A36DC01A2/0226F1FD-CC7C-4F55-80A8-D68EC37CECE3.png","Variant Image")</f>
      </c>
      <c r="U863" s="0">
        <f>HYPERLINK("https://ec-qa-storage.kldlms.com/Item/08DCFA78-19E9-4207-8282-622A36DC01A2/A333876E-41DC-4EA8-B4FB-A9DC72CA329D.png","Thumbnail Image")</f>
      </c>
      <c r="V863" s="0">
        <f>HYPERLINK("https://ec-qa-storage.kldlms.com/ItemGallery/08DCFA78-19E9-4207-8282-622A36DC01A2/1B50ED63-8A5D-4C4D-ABC0-D1B92ACA3828.png","Gallery Image ")</f>
      </c>
      <c r="W863" s="0" t="s">
        <v>22</v>
      </c>
      <c r="X863" s="0" t="s">
        <v>3523</v>
      </c>
    </row>
    <row r="864">
      <c r="A864" s="0" t="s">
        <v>3524</v>
      </c>
      <c r="B864" s="0" t="s">
        <v>3524</v>
      </c>
      <c r="C864" s="0" t="s">
        <v>3525</v>
      </c>
      <c r="D864" s="0" t="s">
        <v>27</v>
      </c>
      <c r="E864" s="0" t="s">
        <v>3526</v>
      </c>
      <c r="F864" s="0" t="s">
        <v>3137</v>
      </c>
      <c r="G864" s="0" t="s">
        <v>3524</v>
      </c>
      <c r="H864" s="0" t="s">
        <v>3524</v>
      </c>
      <c r="I864" s="0" t="s">
        <v>3527</v>
      </c>
      <c r="J864" s="0" t="s">
        <v>3527</v>
      </c>
      <c r="K864" s="0" t="s">
        <v>3528</v>
      </c>
      <c r="L864" s="0" t="s">
        <v>32</v>
      </c>
      <c r="M864" s="0" t="s">
        <v>61</v>
      </c>
      <c r="N864" s="0" t="s">
        <v>202</v>
      </c>
      <c r="O864" s="0" t="s">
        <v>35</v>
      </c>
      <c r="P864" s="0" t="s">
        <v>39</v>
      </c>
      <c r="Q864" s="0" t="s">
        <v>3529</v>
      </c>
      <c r="R864" s="0" t="s">
        <v>3525</v>
      </c>
      <c r="S864" s="0" t="s">
        <v>202</v>
      </c>
      <c r="T864" s="0">
        <f>HYPERLINK("https://storage.sslt.ae/ItemVariation/08DCFA78-1A47-41A6-83B9-299B467CBAA6/1BFAD349-D30F-4540-9807-BB30B9B4C463.png","Variant Image")</f>
      </c>
      <c r="U864" s="0">
        <f>HYPERLINK("https://ec-qa-storage.kldlms.com/Item/08DCFA78-1A47-41A6-83B9-299B467CBAA6/77643C8A-673E-4CE2-9BFB-8DC57E581901.jpg","Thumbnail Image")</f>
      </c>
      <c r="V864" s="0">
        <f>HYPERLINK("https://ec-qa-storage.kldlms.com/ItemGallery/08DCFA78-1A47-41A6-83B9-299B467CBAA6/B36B44AD-B192-4C1C-B3E9-14EEBBA8D4CB.jpg","Gallery Image ")</f>
      </c>
      <c r="W864" s="0" t="s">
        <v>22</v>
      </c>
    </row>
    <row r="865">
      <c r="P865" s="0" t="s">
        <v>527</v>
      </c>
      <c r="Q865" s="0" t="s">
        <v>3528</v>
      </c>
      <c r="R865" s="0" t="s">
        <v>3525</v>
      </c>
      <c r="S865" s="0" t="s">
        <v>32</v>
      </c>
      <c r="T865" s="0">
        <f>HYPERLINK("https://ec-qa-storage.kldlms.com/ItemVariation/08DCFA78-1A47-41A6-83B9-299B467CBAA6/B7CE5BC2-3DC5-47BE-B8D1-50E191D3F132.jpg","Variant Image")</f>
      </c>
    </row>
    <row r="866">
      <c r="A866" s="0" t="s">
        <v>3530</v>
      </c>
      <c r="B866" s="0" t="s">
        <v>3530</v>
      </c>
      <c r="C866" s="0" t="s">
        <v>3531</v>
      </c>
      <c r="D866" s="0" t="s">
        <v>27</v>
      </c>
      <c r="E866" s="0" t="s">
        <v>3526</v>
      </c>
      <c r="F866" s="0" t="s">
        <v>3137</v>
      </c>
      <c r="G866" s="0" t="s">
        <v>3530</v>
      </c>
      <c r="H866" s="0" t="s">
        <v>3530</v>
      </c>
      <c r="I866" s="0" t="s">
        <v>3532</v>
      </c>
      <c r="J866" s="0" t="s">
        <v>3532</v>
      </c>
      <c r="K866" s="0" t="s">
        <v>658</v>
      </c>
      <c r="L866" s="0" t="s">
        <v>32</v>
      </c>
      <c r="M866" s="0" t="s">
        <v>61</v>
      </c>
      <c r="N866" s="0" t="s">
        <v>404</v>
      </c>
      <c r="O866" s="0" t="s">
        <v>35</v>
      </c>
      <c r="P866" s="0" t="s">
        <v>39</v>
      </c>
      <c r="Q866" s="0" t="s">
        <v>3533</v>
      </c>
      <c r="R866" s="0" t="s">
        <v>3531</v>
      </c>
      <c r="S866" s="0" t="s">
        <v>404</v>
      </c>
      <c r="T866" s="0">
        <f>HYPERLINK("https://storage.sslt.ae/ItemVariation/08DCFA78-1AA1-4343-864B-DF1886F5EEAA/54E15BD7-F37A-4910-8962-7BBF9B100AA7.png","Variant Image")</f>
      </c>
      <c r="U866" s="0">
        <f>HYPERLINK("https://ec-qa-storage.kldlms.com/Item/08DCFA78-1AA1-4343-864B-DF1886F5EEAA/5CBE8258-A33F-4042-B2EA-6F15119B9A85.jpg","Thumbnail Image")</f>
      </c>
      <c r="V866" s="0">
        <f>HYPERLINK("https://ec-qa-storage.kldlms.com/ItemGallery/08DCFA78-1AA1-4343-864B-DF1886F5EEAA/F485194B-FB77-4BA3-82E2-9A6BB717AB72.jpg","Gallery Image ")</f>
      </c>
      <c r="W866" s="0" t="s">
        <v>22</v>
      </c>
    </row>
    <row r="867">
      <c r="P867" s="0" t="s">
        <v>527</v>
      </c>
      <c r="Q867" s="0" t="s">
        <v>658</v>
      </c>
      <c r="R867" s="0" t="s">
        <v>3531</v>
      </c>
      <c r="S867" s="0" t="s">
        <v>32</v>
      </c>
      <c r="T867" s="0">
        <f>HYPERLINK("https://ec-qa-storage.kldlms.com/ItemVariation/08DCFA78-1AA1-4343-864B-DF1886F5EEAA/1AED9D25-EA1B-4549-88AD-E9B36DA11E55.jpg","Variant Image")</f>
      </c>
    </row>
    <row r="868">
      <c r="A868" s="0" t="s">
        <v>3534</v>
      </c>
      <c r="B868" s="0" t="s">
        <v>3534</v>
      </c>
      <c r="C868" s="0" t="s">
        <v>3535</v>
      </c>
      <c r="D868" s="0" t="s">
        <v>27</v>
      </c>
      <c r="E868" s="0" t="s">
        <v>3536</v>
      </c>
      <c r="F868" s="0" t="s">
        <v>58</v>
      </c>
      <c r="G868" s="0" t="s">
        <v>3534</v>
      </c>
      <c r="H868" s="0" t="s">
        <v>3534</v>
      </c>
      <c r="I868" s="0" t="s">
        <v>615</v>
      </c>
      <c r="J868" s="0" t="s">
        <v>615</v>
      </c>
      <c r="K868" s="0" t="s">
        <v>3537</v>
      </c>
      <c r="L868" s="0" t="s">
        <v>32</v>
      </c>
      <c r="M868" s="0" t="s">
        <v>33</v>
      </c>
      <c r="N868" s="0" t="s">
        <v>35</v>
      </c>
      <c r="O868" s="0" t="s">
        <v>35</v>
      </c>
      <c r="P868" s="0" t="s">
        <v>39</v>
      </c>
      <c r="Q868" s="0" t="s">
        <v>3538</v>
      </c>
      <c r="R868" s="0" t="s">
        <v>3535</v>
      </c>
      <c r="S868" s="0" t="s">
        <v>35</v>
      </c>
      <c r="T868" s="0">
        <f>HYPERLINK("https://storage.sslt.ae/ItemVariation/08DCFA78-1BB5-4F1D-89BA-A78BA694611C/CD11631A-1112-4535-9F99-3CF03BEA6477.png","Variant Image")</f>
      </c>
      <c r="U868" s="0">
        <f>HYPERLINK("https://ec-qa-storage.kldlms.com/Item/08DCFA78-1BB5-4F1D-89BA-A78BA694611C/5F5588A1-C29F-4732-9B9F-B9B6641D4856.png","Thumbnail Image")</f>
      </c>
      <c r="V868" s="0">
        <f>HYPERLINK("https://ec-qa-storage.kldlms.com/ItemGallery/08DCFA78-1BB5-4F1D-89BA-A78BA694611C/24A1BCB1-981F-405B-8AA7-97E5ECAEA619.png","Gallery Image ")</f>
      </c>
      <c r="W868" s="0" t="s">
        <v>22</v>
      </c>
      <c r="X868" s="0" t="s">
        <v>3539</v>
      </c>
    </row>
    <row r="869">
      <c r="A869" s="0" t="s">
        <v>3540</v>
      </c>
      <c r="B869" s="0" t="s">
        <v>3540</v>
      </c>
      <c r="C869" s="0" t="s">
        <v>3541</v>
      </c>
      <c r="D869" s="0" t="s">
        <v>27</v>
      </c>
      <c r="E869" s="0" t="s">
        <v>3536</v>
      </c>
      <c r="F869" s="0" t="s">
        <v>58</v>
      </c>
      <c r="G869" s="0" t="s">
        <v>3540</v>
      </c>
      <c r="H869" s="0" t="s">
        <v>3540</v>
      </c>
      <c r="I869" s="0" t="s">
        <v>615</v>
      </c>
      <c r="J869" s="0" t="s">
        <v>615</v>
      </c>
      <c r="K869" s="0" t="s">
        <v>3542</v>
      </c>
      <c r="L869" s="0" t="s">
        <v>32</v>
      </c>
      <c r="M869" s="0" t="s">
        <v>33</v>
      </c>
      <c r="N869" s="0" t="s">
        <v>1098</v>
      </c>
      <c r="O869" s="0" t="s">
        <v>35</v>
      </c>
      <c r="P869" s="0" t="s">
        <v>39</v>
      </c>
      <c r="Q869" s="0" t="s">
        <v>3543</v>
      </c>
      <c r="R869" s="0" t="s">
        <v>3541</v>
      </c>
      <c r="S869" s="0" t="s">
        <v>1098</v>
      </c>
      <c r="T869" s="0">
        <f>HYPERLINK("https://storage.sslt.ae/ItemVariation/08DCFA78-1C11-4A29-80EF-EBCFDC153DB2/48B48DFD-6C75-47B2-898B-AF04051A7F4D.png","Variant Image")</f>
      </c>
      <c r="U869" s="0">
        <f>HYPERLINK("https://ec-qa-storage.kldlms.com/Item/08DCFA78-1C11-4A29-80EF-EBCFDC153DB2/138C8A90-353C-4DAB-B412-81EA5C33AD7B.png","Thumbnail Image")</f>
      </c>
      <c r="V869" s="0">
        <f>HYPERLINK("https://ec-qa-storage.kldlms.com/ItemGallery/08DCFA78-1C11-4A29-80EF-EBCFDC153DB2/E00ED05C-D257-419D-A21D-C514C3F0015F.png","Gallery Image ")</f>
      </c>
      <c r="W869" s="0" t="s">
        <v>22</v>
      </c>
      <c r="X869" s="0" t="s">
        <v>3544</v>
      </c>
    </row>
    <row r="870">
      <c r="A870" s="0" t="s">
        <v>3545</v>
      </c>
      <c r="B870" s="0" t="s">
        <v>3545</v>
      </c>
      <c r="C870" s="0" t="s">
        <v>3546</v>
      </c>
      <c r="D870" s="0" t="s">
        <v>27</v>
      </c>
      <c r="E870" s="0" t="s">
        <v>3526</v>
      </c>
      <c r="F870" s="0" t="s">
        <v>3137</v>
      </c>
      <c r="G870" s="0" t="s">
        <v>3545</v>
      </c>
      <c r="H870" s="0" t="s">
        <v>3545</v>
      </c>
      <c r="I870" s="0" t="s">
        <v>3547</v>
      </c>
      <c r="J870" s="0" t="s">
        <v>3547</v>
      </c>
      <c r="K870" s="0" t="s">
        <v>2404</v>
      </c>
      <c r="L870" s="0" t="s">
        <v>32</v>
      </c>
      <c r="M870" s="0" t="s">
        <v>61</v>
      </c>
      <c r="N870" s="0" t="s">
        <v>854</v>
      </c>
      <c r="O870" s="0" t="s">
        <v>35</v>
      </c>
      <c r="P870" s="0" t="s">
        <v>39</v>
      </c>
      <c r="Q870" s="0" t="s">
        <v>2405</v>
      </c>
      <c r="R870" s="0" t="s">
        <v>3546</v>
      </c>
      <c r="S870" s="0" t="s">
        <v>854</v>
      </c>
      <c r="T870" s="0">
        <f>HYPERLINK("https://storage.sslt.ae/ItemVariation/08DCFA78-1F0F-45AD-873E-8F87B53EB5EE/17738377-9210-4B2B-AB1D-EFEFB03BACBC.png","Variant Image")</f>
      </c>
      <c r="U870" s="0">
        <f>HYPERLINK("https://ec-qa-storage.kldlms.com/Item/08DCFA78-1F0F-45AD-873E-8F87B53EB5EE/4785725E-449D-45DB-B76E-FDD7860BD7E3.jpg","Thumbnail Image")</f>
      </c>
      <c r="V870" s="0">
        <f>HYPERLINK("https://ec-qa-storage.kldlms.com/ItemGallery/08DCFA78-1F0F-45AD-873E-8F87B53EB5EE/250B406E-23D6-4128-A4AF-3A8BC125A2B9.jpg","Gallery Image ")</f>
      </c>
      <c r="W870" s="0" t="s">
        <v>22</v>
      </c>
    </row>
    <row r="871">
      <c r="P871" s="0" t="s">
        <v>1016</v>
      </c>
      <c r="Q871" s="0" t="s">
        <v>2404</v>
      </c>
      <c r="R871" s="0" t="s">
        <v>3546</v>
      </c>
      <c r="S871" s="0" t="s">
        <v>32</v>
      </c>
      <c r="T871" s="0">
        <f>HYPERLINK("https://ec-qa-storage.kldlms.com/ItemVariation/08DCFA78-1F0F-45AD-873E-8F87B53EB5EE/0F1A97AC-6867-4713-99C1-AAD3E89B878C.jpg","Variant Image")</f>
      </c>
    </row>
    <row r="872">
      <c r="A872" s="0" t="s">
        <v>3548</v>
      </c>
      <c r="B872" s="0" t="s">
        <v>3548</v>
      </c>
      <c r="C872" s="0" t="s">
        <v>3549</v>
      </c>
      <c r="D872" s="0" t="s">
        <v>27</v>
      </c>
      <c r="E872" s="0" t="s">
        <v>3536</v>
      </c>
      <c r="F872" s="0" t="s">
        <v>58</v>
      </c>
      <c r="G872" s="0" t="s">
        <v>3548</v>
      </c>
      <c r="H872" s="0" t="s">
        <v>3548</v>
      </c>
      <c r="I872" s="0" t="s">
        <v>615</v>
      </c>
      <c r="J872" s="0" t="s">
        <v>615</v>
      </c>
      <c r="K872" s="0" t="s">
        <v>1966</v>
      </c>
      <c r="L872" s="0" t="s">
        <v>32</v>
      </c>
      <c r="M872" s="0" t="s">
        <v>33</v>
      </c>
      <c r="N872" s="0" t="s">
        <v>337</v>
      </c>
      <c r="O872" s="0" t="s">
        <v>35</v>
      </c>
      <c r="P872" s="0" t="s">
        <v>39</v>
      </c>
      <c r="Q872" s="0" t="s">
        <v>1967</v>
      </c>
      <c r="R872" s="0" t="s">
        <v>3549</v>
      </c>
      <c r="S872" s="0" t="s">
        <v>337</v>
      </c>
      <c r="T872" s="0">
        <f>HYPERLINK("https://storage.sslt.ae/ItemVariation/08DCFA78-1F6B-4B87-86E0-9A9932F6D217/058DBE5B-9B73-4671-BBCF-6DD34ADF6675.png","Variant Image")</f>
      </c>
      <c r="U872" s="0">
        <f>HYPERLINK("https://ec-qa-storage.kldlms.com/Item/08DCFA78-1F6B-4B87-86E0-9A9932F6D217/5CF9E271-BF86-4DBF-B65C-D4FCC564E35F.png","Thumbnail Image")</f>
      </c>
      <c r="V872" s="0">
        <f>HYPERLINK("https://ec-qa-storage.kldlms.com/ItemGallery/08DCFA78-1F6B-4B87-86E0-9A9932F6D217/277573CC-8B91-4039-8219-5A941293E6F1.png","Gallery Image ")</f>
      </c>
      <c r="W872" s="0" t="s">
        <v>22</v>
      </c>
      <c r="X872" s="0" t="s">
        <v>3550</v>
      </c>
    </row>
    <row r="873">
      <c r="A873" s="0" t="s">
        <v>3551</v>
      </c>
      <c r="B873" s="0" t="s">
        <v>3551</v>
      </c>
      <c r="C873" s="0" t="s">
        <v>3552</v>
      </c>
      <c r="D873" s="0" t="s">
        <v>27</v>
      </c>
      <c r="E873" s="0" t="s">
        <v>3536</v>
      </c>
      <c r="F873" s="0" t="s">
        <v>58</v>
      </c>
      <c r="G873" s="0" t="s">
        <v>3551</v>
      </c>
      <c r="H873" s="0" t="s">
        <v>3551</v>
      </c>
      <c r="I873" s="0" t="s">
        <v>615</v>
      </c>
      <c r="J873" s="0" t="s">
        <v>615</v>
      </c>
      <c r="K873" s="0" t="s">
        <v>3553</v>
      </c>
      <c r="L873" s="0" t="s">
        <v>32</v>
      </c>
      <c r="M873" s="0" t="s">
        <v>33</v>
      </c>
      <c r="N873" s="0" t="s">
        <v>276</v>
      </c>
      <c r="O873" s="0" t="s">
        <v>35</v>
      </c>
      <c r="P873" s="0" t="s">
        <v>39</v>
      </c>
      <c r="Q873" s="0" t="s">
        <v>3554</v>
      </c>
      <c r="R873" s="0" t="s">
        <v>3552</v>
      </c>
      <c r="S873" s="0" t="s">
        <v>276</v>
      </c>
      <c r="T873" s="0">
        <f>HYPERLINK("https://storage.sslt.ae/ItemVariation/08DCFA78-1FC7-492D-8E97-4C6242E2A352/C83AEF25-561A-4E38-8608-406A418FD297.png","Variant Image")</f>
      </c>
      <c r="U873" s="0">
        <f>HYPERLINK("https://ec-qa-storage.kldlms.com/Item/08DCFA78-1FC7-492D-8E97-4C6242E2A352/0365D4E3-8454-42B1-BDE8-E730DDA72372.png","Thumbnail Image")</f>
      </c>
      <c r="V873" s="0">
        <f>HYPERLINK("https://ec-qa-storage.kldlms.com/ItemGallery/08DCFA78-1FC7-492D-8E97-4C6242E2A352/A18482E0-F022-4167-9283-7722B94EED64.png","Gallery Image ")</f>
      </c>
      <c r="W873" s="0" t="s">
        <v>22</v>
      </c>
      <c r="X873" s="0" t="s">
        <v>3555</v>
      </c>
    </row>
    <row r="874">
      <c r="A874" s="0" t="s">
        <v>3556</v>
      </c>
      <c r="B874" s="0" t="s">
        <v>3556</v>
      </c>
      <c r="C874" s="0" t="s">
        <v>3557</v>
      </c>
      <c r="D874" s="0" t="s">
        <v>27</v>
      </c>
      <c r="E874" s="0" t="s">
        <v>3558</v>
      </c>
      <c r="F874" s="0" t="s">
        <v>3559</v>
      </c>
      <c r="G874" s="0" t="s">
        <v>3556</v>
      </c>
      <c r="H874" s="0" t="s">
        <v>3556</v>
      </c>
      <c r="I874" s="0" t="s">
        <v>615</v>
      </c>
      <c r="J874" s="0" t="s">
        <v>615</v>
      </c>
      <c r="K874" s="0" t="s">
        <v>3560</v>
      </c>
      <c r="L874" s="0" t="s">
        <v>32</v>
      </c>
      <c r="M874" s="0" t="s">
        <v>33</v>
      </c>
      <c r="N874" s="0" t="s">
        <v>110</v>
      </c>
      <c r="O874" s="0" t="s">
        <v>35</v>
      </c>
      <c r="P874" s="0" t="s">
        <v>39</v>
      </c>
      <c r="Q874" s="0" t="s">
        <v>3561</v>
      </c>
      <c r="R874" s="0" t="s">
        <v>3557</v>
      </c>
      <c r="S874" s="0" t="s">
        <v>110</v>
      </c>
      <c r="T874" s="0">
        <f>HYPERLINK("https://storage.sslt.ae/ItemVariation/08DCFA78-2023-4F21-82A6-9D5DCDA13B42/D98BD9E7-DB0D-4572-9287-699F641525D0.png","Variant Image")</f>
      </c>
      <c r="U874" s="0">
        <f>HYPERLINK("https://ec-qa-storage.kldlms.com/Item/08DCFA78-2023-4F21-82A6-9D5DCDA13B42/8B31F0EE-F5D4-4B42-AAB2-40E86F28B1DB.png","Thumbnail Image")</f>
      </c>
      <c r="V874" s="0">
        <f>HYPERLINK("https://ec-qa-storage.kldlms.com/ItemGallery/08DCFA78-2023-4F21-82A6-9D5DCDA13B42/D4E2E591-DDC0-40AC-9580-A1F46104889E.png","Gallery Image ")</f>
      </c>
      <c r="W874" s="0" t="s">
        <v>22</v>
      </c>
      <c r="X874" s="0" t="s">
        <v>3562</v>
      </c>
    </row>
    <row r="875">
      <c r="A875" s="0" t="s">
        <v>3563</v>
      </c>
      <c r="B875" s="0" t="s">
        <v>3563</v>
      </c>
      <c r="C875" s="0" t="s">
        <v>3564</v>
      </c>
      <c r="D875" s="0" t="s">
        <v>27</v>
      </c>
      <c r="E875" s="0" t="s">
        <v>3558</v>
      </c>
      <c r="F875" s="0" t="s">
        <v>3559</v>
      </c>
      <c r="G875" s="0" t="s">
        <v>3563</v>
      </c>
      <c r="H875" s="0" t="s">
        <v>3563</v>
      </c>
      <c r="I875" s="0" t="s">
        <v>615</v>
      </c>
      <c r="J875" s="0" t="s">
        <v>615</v>
      </c>
      <c r="K875" s="0" t="s">
        <v>3565</v>
      </c>
      <c r="L875" s="0" t="s">
        <v>32</v>
      </c>
      <c r="M875" s="0" t="s">
        <v>33</v>
      </c>
      <c r="N875" s="0" t="s">
        <v>35</v>
      </c>
      <c r="O875" s="0" t="s">
        <v>35</v>
      </c>
      <c r="P875" s="0" t="s">
        <v>39</v>
      </c>
      <c r="Q875" s="0" t="s">
        <v>3566</v>
      </c>
      <c r="R875" s="0" t="s">
        <v>3564</v>
      </c>
      <c r="S875" s="0" t="s">
        <v>35</v>
      </c>
      <c r="T875" s="0">
        <f>HYPERLINK("https://storage.sslt.ae/ItemVariation/08DCFA78-207F-49EF-8AA1-BBAFE3584859/DC8BEA43-8362-4AE5-BEEB-B15FBB5B60B4.png","Variant Image")</f>
      </c>
      <c r="U875" s="0">
        <f>HYPERLINK("https://ec-qa-storage.kldlms.com/Item/08DCFA78-207F-49EF-8AA1-BBAFE3584859/46911BAE-BC00-45BE-A986-C0D0BC46FFF4.png","Thumbnail Image")</f>
      </c>
      <c r="V875" s="0">
        <f>HYPERLINK("https://ec-qa-storage.kldlms.com/ItemGallery/08DCFA78-207F-49EF-8AA1-BBAFE3584859/EB92B27D-2D4E-45B1-A075-3EC121B76D6B.png","Gallery Image ")</f>
      </c>
      <c r="W875" s="0" t="s">
        <v>22</v>
      </c>
      <c r="X875" s="0" t="s">
        <v>3567</v>
      </c>
    </row>
    <row r="876">
      <c r="A876" s="0" t="s">
        <v>3568</v>
      </c>
      <c r="B876" s="0" t="s">
        <v>3568</v>
      </c>
      <c r="C876" s="0" t="s">
        <v>3569</v>
      </c>
      <c r="D876" s="0" t="s">
        <v>27</v>
      </c>
      <c r="E876" s="0" t="s">
        <v>3113</v>
      </c>
      <c r="F876" s="0" t="s">
        <v>80</v>
      </c>
      <c r="G876" s="0" t="s">
        <v>3568</v>
      </c>
      <c r="H876" s="0" t="s">
        <v>3568</v>
      </c>
      <c r="I876" s="0" t="s">
        <v>615</v>
      </c>
      <c r="J876" s="0" t="s">
        <v>615</v>
      </c>
      <c r="K876" s="0" t="s">
        <v>3570</v>
      </c>
      <c r="L876" s="0" t="s">
        <v>32</v>
      </c>
      <c r="M876" s="0" t="s">
        <v>33</v>
      </c>
      <c r="N876" s="0" t="s">
        <v>337</v>
      </c>
      <c r="O876" s="0" t="s">
        <v>35</v>
      </c>
      <c r="P876" s="0" t="s">
        <v>39</v>
      </c>
      <c r="Q876" s="0" t="s">
        <v>3571</v>
      </c>
      <c r="R876" s="0" t="s">
        <v>3569</v>
      </c>
      <c r="S876" s="0" t="s">
        <v>337</v>
      </c>
      <c r="T876" s="0">
        <f>HYPERLINK("https://storage.sslt.ae/ItemVariation/08DCFA78-20DB-468D-80BE-DCDDDC7BBC9E/50C3678B-7023-4991-B667-9D352AA2F1EF.png","Variant Image")</f>
      </c>
      <c r="U876" s="0">
        <f>HYPERLINK("https://ec-qa-storage.kldlms.com/Item/08DCFA78-20DB-468D-80BE-DCDDDC7BBC9E/C7FAF11F-805D-416F-B10B-2D3C267C495F.png","Thumbnail Image")</f>
      </c>
      <c r="V876" s="0">
        <f>HYPERLINK("https://ec-qa-storage.kldlms.com/ItemGallery/08DCFA78-20DB-468D-80BE-DCDDDC7BBC9E/AD329222-E9AA-4F6B-A2CE-E0BC1257B0B7.png","Gallery Image ")</f>
      </c>
      <c r="W876" s="0" t="s">
        <v>22</v>
      </c>
      <c r="X876" s="0" t="s">
        <v>3572</v>
      </c>
    </row>
    <row r="877">
      <c r="A877" s="0" t="s">
        <v>3573</v>
      </c>
      <c r="B877" s="0" t="s">
        <v>3573</v>
      </c>
      <c r="C877" s="0" t="s">
        <v>3574</v>
      </c>
      <c r="D877" s="0" t="s">
        <v>27</v>
      </c>
      <c r="E877" s="0" t="s">
        <v>3113</v>
      </c>
      <c r="F877" s="0" t="s">
        <v>80</v>
      </c>
      <c r="G877" s="0" t="s">
        <v>3573</v>
      </c>
      <c r="H877" s="0" t="s">
        <v>3573</v>
      </c>
      <c r="I877" s="0" t="s">
        <v>615</v>
      </c>
      <c r="J877" s="0" t="s">
        <v>615</v>
      </c>
      <c r="K877" s="0" t="s">
        <v>3570</v>
      </c>
      <c r="L877" s="0" t="s">
        <v>32</v>
      </c>
      <c r="M877" s="0" t="s">
        <v>33</v>
      </c>
      <c r="N877" s="0" t="s">
        <v>35</v>
      </c>
      <c r="O877" s="0" t="s">
        <v>35</v>
      </c>
      <c r="P877" s="0" t="s">
        <v>39</v>
      </c>
      <c r="Q877" s="0" t="s">
        <v>3571</v>
      </c>
      <c r="R877" s="0" t="s">
        <v>3574</v>
      </c>
      <c r="S877" s="0" t="s">
        <v>35</v>
      </c>
      <c r="T877" s="0">
        <f>HYPERLINK("https://storage.sslt.ae/ItemVariation/08DCFA78-2136-4CB3-89AA-84E8C151A40F/81D8A9DA-ABF1-467B-84AD-B290F0689F57.png","Variant Image")</f>
      </c>
      <c r="U877" s="0">
        <f>HYPERLINK("https://ec-qa-storage.kldlms.com/Item/08DCFA78-2136-4CB3-89AA-84E8C151A40F/5EE53385-3F53-4625-8A00-DC232DD69AEB.png","Thumbnail Image")</f>
      </c>
      <c r="V877" s="0">
        <f>HYPERLINK("https://ec-qa-storage.kldlms.com/ItemGallery/08DCFA78-2136-4CB3-89AA-84E8C151A40F/5E1F3AB2-F395-410E-96FF-D6C2687CB7C4.png","Gallery Image ")</f>
      </c>
      <c r="W877" s="0" t="s">
        <v>22</v>
      </c>
      <c r="X877" s="0" t="s">
        <v>3575</v>
      </c>
    </row>
    <row r="878">
      <c r="A878" s="0" t="s">
        <v>3576</v>
      </c>
      <c r="B878" s="0" t="s">
        <v>3576</v>
      </c>
      <c r="C878" s="0" t="s">
        <v>3577</v>
      </c>
      <c r="D878" s="0" t="s">
        <v>27</v>
      </c>
      <c r="E878" s="0" t="s">
        <v>3113</v>
      </c>
      <c r="F878" s="0" t="s">
        <v>80</v>
      </c>
      <c r="G878" s="0" t="s">
        <v>3576</v>
      </c>
      <c r="H878" s="0" t="s">
        <v>3576</v>
      </c>
      <c r="I878" s="0" t="s">
        <v>615</v>
      </c>
      <c r="J878" s="0" t="s">
        <v>615</v>
      </c>
      <c r="K878" s="0" t="s">
        <v>3578</v>
      </c>
      <c r="L878" s="0" t="s">
        <v>32</v>
      </c>
      <c r="M878" s="0" t="s">
        <v>33</v>
      </c>
      <c r="N878" s="0" t="s">
        <v>110</v>
      </c>
      <c r="O878" s="0" t="s">
        <v>35</v>
      </c>
      <c r="P878" s="0" t="s">
        <v>39</v>
      </c>
      <c r="Q878" s="0" t="s">
        <v>3579</v>
      </c>
      <c r="R878" s="0" t="s">
        <v>3577</v>
      </c>
      <c r="S878" s="0" t="s">
        <v>110</v>
      </c>
      <c r="T878" s="0">
        <f>HYPERLINK("https://storage.sslt.ae/ItemVariation/08DCFA78-2192-4E1C-8521-384EDB74506D/C32A4586-7841-49E7-AEB5-3F89102CAEBC.png","Variant Image")</f>
      </c>
      <c r="U878" s="0">
        <f>HYPERLINK("https://ec-qa-storage.kldlms.com/Item/08DCFA78-2192-4E1C-8521-384EDB74506D/01B1D5A4-BC45-43C4-BDC1-DD55724A7E10.png","Thumbnail Image")</f>
      </c>
      <c r="V878" s="0">
        <f>HYPERLINK("https://ec-qa-storage.kldlms.com/ItemGallery/08DCFA78-2192-4E1C-8521-384EDB74506D/610A44BE-83DB-4ECF-B70B-9DD9A1C09447.png","Gallery Image ")</f>
      </c>
      <c r="W878" s="0" t="s">
        <v>22</v>
      </c>
      <c r="X878" s="0" t="s">
        <v>3580</v>
      </c>
    </row>
    <row r="879">
      <c r="A879" s="0" t="s">
        <v>3581</v>
      </c>
      <c r="B879" s="0" t="s">
        <v>3581</v>
      </c>
      <c r="C879" s="0" t="s">
        <v>3582</v>
      </c>
      <c r="D879" s="0" t="s">
        <v>27</v>
      </c>
      <c r="E879" s="0" t="s">
        <v>3583</v>
      </c>
      <c r="F879" s="0" t="s">
        <v>3120</v>
      </c>
      <c r="G879" s="0" t="s">
        <v>3581</v>
      </c>
      <c r="H879" s="0" t="s">
        <v>3581</v>
      </c>
      <c r="I879" s="0" t="s">
        <v>615</v>
      </c>
      <c r="J879" s="0" t="s">
        <v>615</v>
      </c>
      <c r="K879" s="0" t="s">
        <v>269</v>
      </c>
      <c r="L879" s="0" t="s">
        <v>32</v>
      </c>
      <c r="M879" s="0" t="s">
        <v>33</v>
      </c>
      <c r="N879" s="0" t="s">
        <v>3584</v>
      </c>
      <c r="O879" s="0" t="s">
        <v>35</v>
      </c>
      <c r="P879" s="0" t="s">
        <v>39</v>
      </c>
      <c r="Q879" s="0" t="s">
        <v>3585</v>
      </c>
      <c r="R879" s="0" t="s">
        <v>3582</v>
      </c>
      <c r="S879" s="0" t="s">
        <v>3584</v>
      </c>
      <c r="T879" s="0">
        <f>HYPERLINK("https://storage.sslt.ae/ItemVariation/08DCFA78-3CB5-42F5-887B-02887D448231/342387C3-6440-4C53-9213-D2A3389E0636.png","Variant Image")</f>
      </c>
      <c r="U879" s="0">
        <f>HYPERLINK("https://ec-qa-storage.kldlms.com/Item/08DCFA78-3CB5-42F5-887B-02887D448231/EE839572-F682-4CB0-82D6-24572CF25282.png","Thumbnail Image")</f>
      </c>
      <c r="V879" s="0">
        <f>HYPERLINK("https://ec-qa-storage.kldlms.com/ItemGallery/08DCFA78-3CB5-42F5-887B-02887D448231/D5D29875-DE59-4ABF-B8C5-52988B3E9D26.png","Gallery Image ")</f>
      </c>
      <c r="W879" s="0" t="s">
        <v>22</v>
      </c>
      <c r="X879" s="0" t="s">
        <v>3586</v>
      </c>
    </row>
    <row r="880">
      <c r="A880" s="0" t="s">
        <v>3587</v>
      </c>
      <c r="B880" s="0" t="s">
        <v>3587</v>
      </c>
      <c r="C880" s="0" t="s">
        <v>3588</v>
      </c>
      <c r="D880" s="0" t="s">
        <v>27</v>
      </c>
      <c r="E880" s="0" t="s">
        <v>3583</v>
      </c>
      <c r="F880" s="0" t="s">
        <v>3120</v>
      </c>
      <c r="G880" s="0" t="s">
        <v>3587</v>
      </c>
      <c r="H880" s="0" t="s">
        <v>3587</v>
      </c>
      <c r="I880" s="0" t="s">
        <v>615</v>
      </c>
      <c r="J880" s="0" t="s">
        <v>615</v>
      </c>
      <c r="K880" s="0" t="s">
        <v>140</v>
      </c>
      <c r="L880" s="0" t="s">
        <v>32</v>
      </c>
      <c r="M880" s="0" t="s">
        <v>33</v>
      </c>
      <c r="N880" s="0" t="s">
        <v>3589</v>
      </c>
      <c r="O880" s="0" t="s">
        <v>35</v>
      </c>
      <c r="P880" s="0" t="s">
        <v>39</v>
      </c>
      <c r="Q880" s="0" t="s">
        <v>3590</v>
      </c>
      <c r="R880" s="0" t="s">
        <v>3588</v>
      </c>
      <c r="S880" s="0" t="s">
        <v>3589</v>
      </c>
      <c r="T880" s="0">
        <f>HYPERLINK("https://storage.sslt.ae/ItemVariation/08DCFA78-3D54-4173-85E7-643BE82C92D7/2BFC1427-B7EC-4F17-8728-7AC71D69FEC0.png","Variant Image")</f>
      </c>
      <c r="U880" s="0">
        <f>HYPERLINK("https://ec-qa-storage.kldlms.com/Item/08DCFA78-3D54-4173-85E7-643BE82C92D7/D2928918-BE6B-46E5-B9A4-49D870627DA1.png","Thumbnail Image")</f>
      </c>
      <c r="V880" s="0">
        <f>HYPERLINK("https://ec-qa-storage.kldlms.com/ItemGallery/08DCFA78-3D54-4173-85E7-643BE82C92D7/DA43C551-DD88-4489-89FF-7402C293DC2A.png","Gallery Image ")</f>
      </c>
      <c r="W880" s="0" t="s">
        <v>22</v>
      </c>
      <c r="X880" s="0" t="s">
        <v>3591</v>
      </c>
    </row>
    <row r="881">
      <c r="A881" s="0" t="s">
        <v>3592</v>
      </c>
      <c r="B881" s="0" t="s">
        <v>3592</v>
      </c>
      <c r="C881" s="0" t="s">
        <v>3593</v>
      </c>
      <c r="D881" s="0" t="s">
        <v>27</v>
      </c>
      <c r="E881" s="0" t="s">
        <v>3583</v>
      </c>
      <c r="F881" s="0" t="s">
        <v>3120</v>
      </c>
      <c r="G881" s="0" t="s">
        <v>3592</v>
      </c>
      <c r="H881" s="0" t="s">
        <v>3592</v>
      </c>
      <c r="I881" s="0" t="s">
        <v>615</v>
      </c>
      <c r="J881" s="0" t="s">
        <v>615</v>
      </c>
      <c r="K881" s="0" t="s">
        <v>140</v>
      </c>
      <c r="L881" s="0" t="s">
        <v>32</v>
      </c>
      <c r="M881" s="0" t="s">
        <v>33</v>
      </c>
      <c r="N881" s="0" t="s">
        <v>3594</v>
      </c>
      <c r="O881" s="0" t="s">
        <v>35</v>
      </c>
      <c r="P881" s="0" t="s">
        <v>39</v>
      </c>
      <c r="Q881" s="0" t="s">
        <v>3590</v>
      </c>
      <c r="R881" s="0" t="s">
        <v>3593</v>
      </c>
      <c r="S881" s="0" t="s">
        <v>3594</v>
      </c>
      <c r="T881" s="0">
        <f>HYPERLINK("https://storage.sslt.ae/ItemVariation/08DCFA78-3DAA-45AD-8F2F-CB80ED7C34B8/55811479-D854-4F07-A8D4-98A3525A1376.png","Variant Image")</f>
      </c>
      <c r="U881" s="0">
        <f>HYPERLINK("https://ec-qa-storage.kldlms.com/Item/08DCFA78-3DAA-45AD-8F2F-CB80ED7C34B8/90039995-13A8-405A-9223-C89F613A2AF8.png","Thumbnail Image")</f>
      </c>
      <c r="V881" s="0">
        <f>HYPERLINK("https://ec-qa-storage.kldlms.com/ItemGallery/08DCFA78-3DAA-45AD-8F2F-CB80ED7C34B8/F0FA306A-408B-4D25-BEAE-1322803A9312.png","Gallery Image ")</f>
      </c>
      <c r="W881" s="0" t="s">
        <v>22</v>
      </c>
      <c r="X881" s="0" t="s">
        <v>3595</v>
      </c>
    </row>
    <row r="882">
      <c r="A882" s="0" t="s">
        <v>3596</v>
      </c>
      <c r="B882" s="0" t="s">
        <v>3596</v>
      </c>
      <c r="C882" s="0" t="s">
        <v>3597</v>
      </c>
      <c r="D882" s="0" t="s">
        <v>27</v>
      </c>
      <c r="E882" s="0" t="s">
        <v>3583</v>
      </c>
      <c r="F882" s="0" t="s">
        <v>3120</v>
      </c>
      <c r="G882" s="0" t="s">
        <v>3596</v>
      </c>
      <c r="H882" s="0" t="s">
        <v>3596</v>
      </c>
      <c r="I882" s="0" t="s">
        <v>615</v>
      </c>
      <c r="J882" s="0" t="s">
        <v>615</v>
      </c>
      <c r="K882" s="0" t="s">
        <v>2357</v>
      </c>
      <c r="L882" s="0" t="s">
        <v>32</v>
      </c>
      <c r="M882" s="0" t="s">
        <v>33</v>
      </c>
      <c r="N882" s="0" t="s">
        <v>349</v>
      </c>
      <c r="O882" s="0" t="s">
        <v>35</v>
      </c>
      <c r="P882" s="0" t="s">
        <v>39</v>
      </c>
      <c r="Q882" s="0" t="s">
        <v>2359</v>
      </c>
      <c r="R882" s="0" t="s">
        <v>3597</v>
      </c>
      <c r="S882" s="0" t="s">
        <v>349</v>
      </c>
      <c r="T882" s="0">
        <f>HYPERLINK("https://storage.sslt.ae/ItemVariation/08DCFA78-3E06-4C1E-8E09-A44847250595/C9583DD4-9A45-4E36-9D6F-2E7433907E67.png","Variant Image")</f>
      </c>
      <c r="U882" s="0">
        <f>HYPERLINK("https://ec-qa-storage.kldlms.com/Item/08DCFA78-3E06-4C1E-8E09-A44847250595/554A87EA-057E-4631-86A2-6A9D23397E9B.png","Thumbnail Image")</f>
      </c>
      <c r="V882" s="0">
        <f>HYPERLINK("https://ec-qa-storage.kldlms.com/ItemGallery/08DCFA78-3E06-4C1E-8E09-A44847250595/53795641-DCC6-4C75-8BFD-66DAAEC2528E.png","Gallery Image ")</f>
      </c>
      <c r="W882" s="0" t="s">
        <v>22</v>
      </c>
      <c r="X882" s="0" t="s">
        <v>3598</v>
      </c>
    </row>
    <row r="883">
      <c r="A883" s="0" t="s">
        <v>3599</v>
      </c>
      <c r="B883" s="0" t="s">
        <v>3599</v>
      </c>
      <c r="C883" s="0" t="s">
        <v>3600</v>
      </c>
      <c r="D883" s="0" t="s">
        <v>27</v>
      </c>
      <c r="E883" s="0" t="s">
        <v>3583</v>
      </c>
      <c r="F883" s="0" t="s">
        <v>3120</v>
      </c>
      <c r="G883" s="0" t="s">
        <v>3599</v>
      </c>
      <c r="H883" s="0" t="s">
        <v>3599</v>
      </c>
      <c r="I883" s="0" t="s">
        <v>615</v>
      </c>
      <c r="J883" s="0" t="s">
        <v>615</v>
      </c>
      <c r="K883" s="0" t="s">
        <v>3601</v>
      </c>
      <c r="L883" s="0" t="s">
        <v>32</v>
      </c>
      <c r="M883" s="0" t="s">
        <v>33</v>
      </c>
      <c r="N883" s="0" t="s">
        <v>512</v>
      </c>
      <c r="O883" s="0" t="s">
        <v>35</v>
      </c>
      <c r="P883" s="0" t="s">
        <v>39</v>
      </c>
      <c r="Q883" s="0" t="s">
        <v>3602</v>
      </c>
      <c r="R883" s="0" t="s">
        <v>3600</v>
      </c>
      <c r="S883" s="0" t="s">
        <v>512</v>
      </c>
      <c r="T883" s="0">
        <f>HYPERLINK("https://storage.sslt.ae/ItemVariation/08DCFA78-3E64-44BB-859B-470D4873BF31/E03401E6-66C8-4E41-ADCD-703977869846.png","Variant Image")</f>
      </c>
      <c r="U883" s="0">
        <f>HYPERLINK("https://ec-qa-storage.kldlms.com/Item/08DCFA78-3E64-44BB-859B-470D4873BF31/E4F9B934-DCAA-4A31-90A3-14FB85D59663.png","Thumbnail Image")</f>
      </c>
      <c r="V883" s="0">
        <f>HYPERLINK("https://ec-qa-storage.kldlms.com/ItemGallery/08DCFA78-3E64-44BB-859B-470D4873BF31/CBCA58FA-E1BC-4AEE-AC5B-E1608B458422.png","Gallery Image ")</f>
      </c>
      <c r="W883" s="0" t="s">
        <v>22</v>
      </c>
      <c r="X883" s="0" t="s">
        <v>3603</v>
      </c>
    </row>
    <row r="884">
      <c r="A884" s="0" t="s">
        <v>3604</v>
      </c>
      <c r="B884" s="0" t="s">
        <v>3604</v>
      </c>
      <c r="C884" s="0" t="s">
        <v>3605</v>
      </c>
      <c r="D884" s="0" t="s">
        <v>27</v>
      </c>
      <c r="E884" s="0" t="s">
        <v>3583</v>
      </c>
      <c r="F884" s="0" t="s">
        <v>3120</v>
      </c>
      <c r="G884" s="0" t="s">
        <v>3604</v>
      </c>
      <c r="H884" s="0" t="s">
        <v>3604</v>
      </c>
      <c r="I884" s="0" t="s">
        <v>615</v>
      </c>
      <c r="J884" s="0" t="s">
        <v>615</v>
      </c>
      <c r="K884" s="0" t="s">
        <v>3404</v>
      </c>
      <c r="L884" s="0" t="s">
        <v>32</v>
      </c>
      <c r="M884" s="0" t="s">
        <v>33</v>
      </c>
      <c r="N884" s="0" t="s">
        <v>3066</v>
      </c>
      <c r="O884" s="0" t="s">
        <v>35</v>
      </c>
      <c r="P884" s="0" t="s">
        <v>39</v>
      </c>
      <c r="Q884" s="0" t="s">
        <v>3405</v>
      </c>
      <c r="R884" s="0" t="s">
        <v>3605</v>
      </c>
      <c r="S884" s="0" t="s">
        <v>3066</v>
      </c>
      <c r="T884" s="0">
        <f>HYPERLINK("https://storage.sslt.ae/ItemVariation/08DCFA78-3EBF-46F7-8F8A-DD9550424B59/8EE4E8DD-A564-4E59-ADA7-559F6B1CCBB2.png","Variant Image")</f>
      </c>
      <c r="U884" s="0">
        <f>HYPERLINK("https://ec-qa-storage.kldlms.com/Item/08DCFA78-3EBF-46F7-8F8A-DD9550424B59/53A529FB-A956-4845-9EB9-EE341A6DA6D1.png","Thumbnail Image")</f>
      </c>
      <c r="V884" s="0">
        <f>HYPERLINK("https://ec-qa-storage.kldlms.com/ItemGallery/08DCFA78-3EBF-46F7-8F8A-DD9550424B59/99D3FBCD-2F16-4431-88DF-CB38AD479E53.png","Gallery Image ")</f>
      </c>
      <c r="W884" s="0" t="s">
        <v>22</v>
      </c>
      <c r="X884" s="0" t="s">
        <v>3606</v>
      </c>
    </row>
    <row r="885">
      <c r="A885" s="0" t="s">
        <v>3607</v>
      </c>
      <c r="B885" s="0" t="s">
        <v>3607</v>
      </c>
      <c r="C885" s="0" t="s">
        <v>3608</v>
      </c>
      <c r="D885" s="0" t="s">
        <v>27</v>
      </c>
      <c r="E885" s="0" t="s">
        <v>3609</v>
      </c>
      <c r="F885" s="0" t="s">
        <v>3137</v>
      </c>
      <c r="G885" s="0" t="s">
        <v>3607</v>
      </c>
      <c r="H885" s="0" t="s">
        <v>3607</v>
      </c>
      <c r="I885" s="0" t="s">
        <v>3610</v>
      </c>
      <c r="J885" s="0" t="s">
        <v>3610</v>
      </c>
      <c r="K885" s="0" t="s">
        <v>3611</v>
      </c>
      <c r="L885" s="0" t="s">
        <v>32</v>
      </c>
      <c r="M885" s="0" t="s">
        <v>61</v>
      </c>
      <c r="N885" s="0" t="s">
        <v>787</v>
      </c>
      <c r="O885" s="0" t="s">
        <v>35</v>
      </c>
      <c r="P885" s="0" t="s">
        <v>39</v>
      </c>
      <c r="Q885" s="0" t="s">
        <v>3612</v>
      </c>
      <c r="R885" s="0" t="s">
        <v>3608</v>
      </c>
      <c r="S885" s="0" t="s">
        <v>787</v>
      </c>
      <c r="T885" s="0">
        <f>HYPERLINK("https://storage.sslt.ae/ItemVariation/08DCFA78-3F79-4BF2-8901-80F06FB63B79/78A737DD-F385-4D33-86C9-F2E67B6EE9D7.png","Variant Image")</f>
      </c>
      <c r="U885" s="0">
        <f>HYPERLINK("https://ec-qa-storage.kldlms.com/Item/08DCFA78-3F79-4BF2-8901-80F06FB63B79/1CD599DC-2C43-4416-8EFF-3507FC830323.jpg","Thumbnail Image")</f>
      </c>
      <c r="V885" s="0">
        <f>HYPERLINK("https://ec-qa-storage.kldlms.com/ItemGallery/08DCFA78-3F79-4BF2-8901-80F06FB63B79/98A300A5-E2EB-4426-90E0-D3A1AB68B5AA.jpg","Gallery Image ")</f>
      </c>
      <c r="W885" s="0" t="s">
        <v>22</v>
      </c>
    </row>
    <row r="886">
      <c r="P886" s="0" t="s">
        <v>527</v>
      </c>
      <c r="Q886" s="0" t="s">
        <v>3611</v>
      </c>
      <c r="R886" s="0" t="s">
        <v>3608</v>
      </c>
      <c r="S886" s="0" t="s">
        <v>32</v>
      </c>
      <c r="T886" s="0">
        <f>HYPERLINK("https://ec-qa-storage.kldlms.com/ItemVariation/08DCFA78-3F79-4BF2-8901-80F06FB63B79/AEA4E2DF-A92D-49BC-8935-F2E649A9EE2B.jpg","Variant Image")</f>
      </c>
    </row>
    <row r="887">
      <c r="P887" s="0" t="s">
        <v>121</v>
      </c>
      <c r="Q887" s="0" t="s">
        <v>3611</v>
      </c>
      <c r="R887" s="0" t="s">
        <v>3613</v>
      </c>
      <c r="S887" s="0" t="s">
        <v>32</v>
      </c>
      <c r="T887" s="0">
        <f>HYPERLINK("https://ec-qa-storage.kldlms.com/ItemVariation/08DCFA78-3F79-4BF2-8901-80F06FB63B79/66CAEBFD-3C6A-467F-9CC5-339072586BAC.png","Variant Image")</f>
      </c>
    </row>
    <row r="888">
      <c r="P888" s="0" t="s">
        <v>1195</v>
      </c>
      <c r="Q888" s="0" t="s">
        <v>3611</v>
      </c>
      <c r="R888" s="0" t="s">
        <v>3614</v>
      </c>
      <c r="S888" s="0" t="s">
        <v>32</v>
      </c>
      <c r="T888" s="0">
        <f>HYPERLINK("https://ec-qa-storage.kldlms.com/ItemVariation/08DCFA78-3F79-4BF2-8901-80F06FB63B79/15B10C0C-39CA-4C15-A63D-F6EBCB7D0B50.jpg","Variant Image")</f>
      </c>
    </row>
    <row r="889">
      <c r="P889" s="0" t="s">
        <v>3615</v>
      </c>
      <c r="Q889" s="0" t="s">
        <v>3611</v>
      </c>
      <c r="R889" s="0" t="s">
        <v>3616</v>
      </c>
      <c r="S889" s="0" t="s">
        <v>32</v>
      </c>
      <c r="T889" s="0">
        <f>HYPERLINK("https://ec-qa-storage.kldlms.com/ItemVariation/08DCFA78-3F79-4BF2-8901-80F06FB63B79/D2ED365E-2DA6-47C0-AC6B-A7996F0C0624.jpg","Variant Image")</f>
      </c>
    </row>
    <row r="890">
      <c r="A890" s="0" t="s">
        <v>3617</v>
      </c>
      <c r="B890" s="0" t="s">
        <v>3617</v>
      </c>
      <c r="C890" s="0" t="s">
        <v>3613</v>
      </c>
      <c r="D890" s="0" t="s">
        <v>27</v>
      </c>
      <c r="E890" s="0" t="s">
        <v>3583</v>
      </c>
      <c r="F890" s="0" t="s">
        <v>3120</v>
      </c>
      <c r="G890" s="0" t="s">
        <v>3617</v>
      </c>
      <c r="H890" s="0" t="s">
        <v>3617</v>
      </c>
      <c r="I890" s="0" t="s">
        <v>615</v>
      </c>
      <c r="J890" s="0" t="s">
        <v>615</v>
      </c>
      <c r="K890" s="0" t="s">
        <v>3618</v>
      </c>
      <c r="L890" s="0" t="s">
        <v>32</v>
      </c>
      <c r="M890" s="0" t="s">
        <v>33</v>
      </c>
      <c r="N890" s="0" t="s">
        <v>787</v>
      </c>
      <c r="O890" s="0" t="s">
        <v>35</v>
      </c>
      <c r="P890" s="0" t="s">
        <v>39</v>
      </c>
      <c r="Q890" s="0" t="s">
        <v>3619</v>
      </c>
      <c r="R890" s="0" t="s">
        <v>3613</v>
      </c>
      <c r="S890" s="0" t="s">
        <v>787</v>
      </c>
      <c r="T890" s="0">
        <f>HYPERLINK("https://storage.sslt.ae/ItemVariation/08DCFA78-3FD6-4F39-8EA6-4D056B796058/D73EF76F-09B7-4ECF-A875-ED935B92451F.png","Variant Image")</f>
      </c>
      <c r="U890" s="0">
        <f>HYPERLINK("https://ec-qa-storage.kldlms.com/Item/08DCFA78-3FD6-4F39-8EA6-4D056B796058/9327C94E-5825-400D-832E-21D89A26FA78.png","Thumbnail Image")</f>
      </c>
      <c r="V890" s="0">
        <f>HYPERLINK("https://ec-qa-storage.kldlms.com/ItemGallery/08DCFA78-3FD6-4F39-8EA6-4D056B796058/2EFC7B4C-4BAD-4362-902E-EAA25A9AF44A.png","Gallery Image ")</f>
      </c>
      <c r="W890" s="0" t="s">
        <v>22</v>
      </c>
      <c r="X890" s="0" t="s">
        <v>3620</v>
      </c>
    </row>
    <row r="891">
      <c r="A891" s="0" t="s">
        <v>3621</v>
      </c>
      <c r="B891" s="0" t="s">
        <v>3621</v>
      </c>
      <c r="C891" s="0" t="s">
        <v>3614</v>
      </c>
      <c r="D891" s="0" t="s">
        <v>27</v>
      </c>
      <c r="E891" s="0" t="s">
        <v>3583</v>
      </c>
      <c r="F891" s="0" t="s">
        <v>3120</v>
      </c>
      <c r="G891" s="0" t="s">
        <v>3621</v>
      </c>
      <c r="H891" s="0" t="s">
        <v>3621</v>
      </c>
      <c r="I891" s="0" t="s">
        <v>615</v>
      </c>
      <c r="J891" s="0" t="s">
        <v>615</v>
      </c>
      <c r="K891" s="0" t="s">
        <v>3611</v>
      </c>
      <c r="L891" s="0" t="s">
        <v>32</v>
      </c>
      <c r="M891" s="0" t="s">
        <v>33</v>
      </c>
      <c r="N891" s="0" t="s">
        <v>1022</v>
      </c>
      <c r="O891" s="0" t="s">
        <v>35</v>
      </c>
      <c r="P891" s="0" t="s">
        <v>39</v>
      </c>
      <c r="Q891" s="0" t="s">
        <v>3612</v>
      </c>
      <c r="R891" s="0" t="s">
        <v>3614</v>
      </c>
      <c r="S891" s="0" t="s">
        <v>1022</v>
      </c>
      <c r="T891" s="0">
        <f>HYPERLINK("https://storage.sslt.ae/ItemVariation/08DCFA78-4031-439F-86B4-EDBF4227CA20/A2CA944D-348A-481E-9A85-F7472DF5D15C.png","Variant Image")</f>
      </c>
      <c r="U891" s="0">
        <f>HYPERLINK("https://ec-qa-storage.kldlms.com/Item/08DCFA78-4031-439F-86B4-EDBF4227CA20/076DE878-D1C2-444F-A16E-FF689BCDB3FA.png","Thumbnail Image")</f>
      </c>
      <c r="V891" s="0">
        <f>HYPERLINK("https://ec-qa-storage.kldlms.com/ItemGallery/08DCFA78-4031-439F-86B4-EDBF4227CA20/DA65F7E5-28DC-4AD8-8811-E1F156ADB440.png","Gallery Image ")</f>
      </c>
      <c r="W891" s="0" t="s">
        <v>22</v>
      </c>
      <c r="X891" s="0" t="s">
        <v>3622</v>
      </c>
    </row>
    <row r="892">
      <c r="A892" s="0" t="s">
        <v>3623</v>
      </c>
      <c r="B892" s="0" t="s">
        <v>3623</v>
      </c>
      <c r="C892" s="0" t="s">
        <v>3616</v>
      </c>
      <c r="D892" s="0" t="s">
        <v>27</v>
      </c>
      <c r="E892" s="0" t="s">
        <v>3583</v>
      </c>
      <c r="F892" s="0" t="s">
        <v>3120</v>
      </c>
      <c r="G892" s="0" t="s">
        <v>3623</v>
      </c>
      <c r="H892" s="0" t="s">
        <v>3623</v>
      </c>
      <c r="I892" s="0" t="s">
        <v>615</v>
      </c>
      <c r="J892" s="0" t="s">
        <v>615</v>
      </c>
      <c r="K892" s="0" t="s">
        <v>3459</v>
      </c>
      <c r="L892" s="0" t="s">
        <v>32</v>
      </c>
      <c r="M892" s="0" t="s">
        <v>33</v>
      </c>
      <c r="N892" s="0" t="s">
        <v>512</v>
      </c>
      <c r="O892" s="0" t="s">
        <v>35</v>
      </c>
      <c r="P892" s="0" t="s">
        <v>39</v>
      </c>
      <c r="Q892" s="0" t="s">
        <v>3460</v>
      </c>
      <c r="R892" s="0" t="s">
        <v>3616</v>
      </c>
      <c r="S892" s="0" t="s">
        <v>512</v>
      </c>
      <c r="T892" s="0">
        <f>HYPERLINK("https://storage.sslt.ae/ItemVariation/08DCFA78-408F-45CA-8C38-CCB9945BEF33/9D6E3F41-F6F0-4D1F-92AD-AF3EB988E455.png","Variant Image")</f>
      </c>
      <c r="U892" s="0">
        <f>HYPERLINK("https://ec-qa-storage.kldlms.com/Item/08DCFA78-408F-45CA-8C38-CCB9945BEF33/FAAF0B51-F4DF-4D36-BE38-ACDBD2C85A9B.png","Thumbnail Image")</f>
      </c>
      <c r="V892" s="0">
        <f>HYPERLINK("https://ec-qa-storage.kldlms.com/ItemGallery/08DCFA78-408F-45CA-8C38-CCB9945BEF33/8B38FDA5-2A12-4C4A-93F7-49D4AD2115B8.png","Gallery Image ")</f>
      </c>
      <c r="W892" s="0" t="s">
        <v>22</v>
      </c>
      <c r="X892" s="0" t="s">
        <v>3624</v>
      </c>
    </row>
    <row r="893">
      <c r="A893" s="0" t="s">
        <v>3625</v>
      </c>
      <c r="B893" s="0" t="s">
        <v>3625</v>
      </c>
      <c r="C893" s="0" t="s">
        <v>3626</v>
      </c>
      <c r="D893" s="0" t="s">
        <v>27</v>
      </c>
      <c r="E893" s="0" t="s">
        <v>3609</v>
      </c>
      <c r="F893" s="0" t="s">
        <v>3137</v>
      </c>
      <c r="G893" s="0" t="s">
        <v>3625</v>
      </c>
      <c r="H893" s="0" t="s">
        <v>3625</v>
      </c>
      <c r="I893" s="0" t="s">
        <v>3627</v>
      </c>
      <c r="J893" s="0" t="s">
        <v>3627</v>
      </c>
      <c r="K893" s="0" t="s">
        <v>3628</v>
      </c>
      <c r="L893" s="0" t="s">
        <v>32</v>
      </c>
      <c r="M893" s="0" t="s">
        <v>61</v>
      </c>
      <c r="N893" s="0" t="s">
        <v>100</v>
      </c>
      <c r="O893" s="0" t="s">
        <v>35</v>
      </c>
      <c r="P893" s="0" t="s">
        <v>39</v>
      </c>
      <c r="Q893" s="0" t="s">
        <v>3628</v>
      </c>
      <c r="R893" s="0" t="s">
        <v>3626</v>
      </c>
      <c r="S893" s="0" t="s">
        <v>32</v>
      </c>
      <c r="T893" s="0">
        <f>HYPERLINK("https://ec-qa-storage.kldlms.com/ItemVariation/08DCFA78-40EC-4400-8E18-6089EAA54C42/EF055550-3028-4E7E-AF45-9D79EFCAC8C6.png","Variant Image")</f>
      </c>
      <c r="U893" s="0">
        <f>HYPERLINK("https://ec-qa-storage.kldlms.com/Item/08DCFA78-40EC-4400-8E18-6089EAA54C42/D6DA5A39-8E23-4120-88E4-F2268909E66A.png","Thumbnail Image")</f>
      </c>
      <c r="V893" s="0">
        <f>HYPERLINK("https://ec-qa-storage.kldlms.com/ItemGallery/08DCFA78-40EC-4400-8E18-6089EAA54C42/F6213038-A802-4F57-BCE2-64D19ADCE791.jpg","Gallery Image ")</f>
      </c>
      <c r="W893" s="0" t="s">
        <v>22</v>
      </c>
    </row>
    <row r="894">
      <c r="P894" s="0" t="s">
        <v>327</v>
      </c>
      <c r="Q894" s="0" t="s">
        <v>3628</v>
      </c>
      <c r="R894" s="0" t="s">
        <v>3629</v>
      </c>
      <c r="S894" s="0" t="s">
        <v>32</v>
      </c>
      <c r="T894" s="0">
        <f>HYPERLINK("https://ec-qa-storage.kldlms.com/ItemVariation/08DCFA78-40EC-4400-8E18-6089EAA54C42/898402BC-7E2E-43F9-A709-CC0344BCDC0C.jpg","Variant Image")</f>
      </c>
    </row>
    <row r="895">
      <c r="A895" s="0" t="s">
        <v>3630</v>
      </c>
      <c r="B895" s="0" t="s">
        <v>3630</v>
      </c>
      <c r="C895" s="0" t="s">
        <v>3629</v>
      </c>
      <c r="D895" s="0" t="s">
        <v>27</v>
      </c>
      <c r="E895" s="0" t="s">
        <v>3583</v>
      </c>
      <c r="F895" s="0" t="s">
        <v>3120</v>
      </c>
      <c r="G895" s="0" t="s">
        <v>3630</v>
      </c>
      <c r="H895" s="0" t="s">
        <v>3630</v>
      </c>
      <c r="I895" s="0" t="s">
        <v>615</v>
      </c>
      <c r="J895" s="0" t="s">
        <v>615</v>
      </c>
      <c r="K895" s="0" t="s">
        <v>3631</v>
      </c>
      <c r="L895" s="0" t="s">
        <v>32</v>
      </c>
      <c r="M895" s="0" t="s">
        <v>33</v>
      </c>
      <c r="N895" s="0" t="s">
        <v>100</v>
      </c>
      <c r="O895" s="0" t="s">
        <v>35</v>
      </c>
      <c r="P895" s="0" t="s">
        <v>39</v>
      </c>
      <c r="Q895" s="0" t="s">
        <v>3632</v>
      </c>
      <c r="R895" s="0" t="s">
        <v>3629</v>
      </c>
      <c r="S895" s="0" t="s">
        <v>100</v>
      </c>
      <c r="T895" s="0">
        <f>HYPERLINK("https://storage.sslt.ae/ItemVariation/08DCFA78-4148-4772-8014-BCA616FD8ADE/13DEF171-926E-46AF-93FB-1737B1613BC9.png","Variant Image")</f>
      </c>
      <c r="U895" s="0">
        <f>HYPERLINK("https://ec-qa-storage.kldlms.com/Item/08DCFA78-4148-4772-8014-BCA616FD8ADE/D163D8A5-7BA8-4B07-905D-6C14AC85198E.png","Thumbnail Image")</f>
      </c>
      <c r="V895" s="0">
        <f>HYPERLINK("https://ec-qa-storage.kldlms.com/ItemGallery/08DCFA78-4148-4772-8014-BCA616FD8ADE/0E350D32-EE48-4BC9-8A9D-389480173BAC.png","Gallery Image ")</f>
      </c>
      <c r="W895" s="0" t="s">
        <v>22</v>
      </c>
      <c r="X895" s="0" t="s">
        <v>3633</v>
      </c>
    </row>
    <row r="896">
      <c r="A896" s="0" t="s">
        <v>3634</v>
      </c>
      <c r="B896" s="0" t="s">
        <v>3634</v>
      </c>
      <c r="C896" s="0" t="s">
        <v>3635</v>
      </c>
      <c r="D896" s="0" t="s">
        <v>27</v>
      </c>
      <c r="E896" s="0" t="s">
        <v>3609</v>
      </c>
      <c r="F896" s="0" t="s">
        <v>3137</v>
      </c>
      <c r="G896" s="0" t="s">
        <v>3634</v>
      </c>
      <c r="H896" s="0" t="s">
        <v>3634</v>
      </c>
      <c r="I896" s="0" t="s">
        <v>3636</v>
      </c>
      <c r="J896" s="0" t="s">
        <v>3636</v>
      </c>
      <c r="K896" s="0" t="s">
        <v>3637</v>
      </c>
      <c r="L896" s="0" t="s">
        <v>32</v>
      </c>
      <c r="M896" s="0" t="s">
        <v>61</v>
      </c>
      <c r="N896" s="0" t="s">
        <v>276</v>
      </c>
      <c r="O896" s="0" t="s">
        <v>35</v>
      </c>
      <c r="P896" s="0" t="s">
        <v>39</v>
      </c>
      <c r="Q896" s="0" t="s">
        <v>3638</v>
      </c>
      <c r="R896" s="0" t="s">
        <v>3635</v>
      </c>
      <c r="S896" s="0" t="s">
        <v>276</v>
      </c>
      <c r="T896" s="0">
        <f>HYPERLINK("https://storage.sslt.ae/ItemVariation/08DCFA78-41A4-4E77-82C8-58C62CF3C35F/A84D734B-7081-4F40-867A-DBE02739E4FA.png","Variant Image")</f>
      </c>
      <c r="U896" s="0">
        <f>HYPERLINK("https://ec-qa-storage.kldlms.com/Item/08DCFA78-41A4-4E77-82C8-58C62CF3C35F/42B11001-8506-4B97-B275-E8BE9E2CC5A4.jpg","Thumbnail Image")</f>
      </c>
      <c r="V896" s="0">
        <f>HYPERLINK("https://ec-qa-storage.kldlms.com/ItemGallery/08DCFA78-41A4-4E77-82C8-58C62CF3C35F/C6B96360-2AAF-4E7C-8A9D-2023E7920548.jpg","Gallery Image ")</f>
      </c>
      <c r="W896" s="0" t="s">
        <v>22</v>
      </c>
    </row>
    <row r="897">
      <c r="P897" s="0" t="s">
        <v>3639</v>
      </c>
      <c r="Q897" s="0" t="s">
        <v>3637</v>
      </c>
      <c r="R897" s="0" t="s">
        <v>3635</v>
      </c>
      <c r="S897" s="0" t="s">
        <v>32</v>
      </c>
      <c r="T897" s="0">
        <f>HYPERLINK("https://ec-qa-storage.kldlms.com/ItemVariation/08DCFA78-41A4-4E77-82C8-58C62CF3C35F/C15099CD-54B3-4790-A484-DD77D9C80B75.jpg","Variant Image")</f>
      </c>
    </row>
    <row r="898">
      <c r="P898" s="0" t="s">
        <v>527</v>
      </c>
      <c r="Q898" s="0" t="s">
        <v>3637</v>
      </c>
      <c r="R898" s="0" t="s">
        <v>3640</v>
      </c>
      <c r="S898" s="0" t="s">
        <v>32</v>
      </c>
      <c r="T898" s="0">
        <f>HYPERLINK("https://ec-qa-storage.kldlms.com/ItemVariation/08DCFA78-41A4-4E77-82C8-58C62CF3C35F/909873C7-9CF1-42DB-86F4-92702416B5A3.jpg","Variant Image")</f>
      </c>
    </row>
    <row r="899">
      <c r="A899" s="0" t="s">
        <v>3641</v>
      </c>
      <c r="B899" s="0" t="s">
        <v>3641</v>
      </c>
      <c r="C899" s="0" t="s">
        <v>3640</v>
      </c>
      <c r="D899" s="0" t="s">
        <v>27</v>
      </c>
      <c r="E899" s="0" t="s">
        <v>3583</v>
      </c>
      <c r="F899" s="0" t="s">
        <v>3120</v>
      </c>
      <c r="G899" s="0" t="s">
        <v>3641</v>
      </c>
      <c r="H899" s="0" t="s">
        <v>3641</v>
      </c>
      <c r="I899" s="0" t="s">
        <v>615</v>
      </c>
      <c r="J899" s="0" t="s">
        <v>615</v>
      </c>
      <c r="K899" s="0" t="s">
        <v>3642</v>
      </c>
      <c r="L899" s="0" t="s">
        <v>32</v>
      </c>
      <c r="M899" s="0" t="s">
        <v>33</v>
      </c>
      <c r="N899" s="0" t="s">
        <v>110</v>
      </c>
      <c r="O899" s="0" t="s">
        <v>35</v>
      </c>
      <c r="P899" s="0" t="s">
        <v>39</v>
      </c>
      <c r="Q899" s="0" t="s">
        <v>3643</v>
      </c>
      <c r="R899" s="0" t="s">
        <v>3640</v>
      </c>
      <c r="S899" s="0" t="s">
        <v>110</v>
      </c>
      <c r="T899" s="0">
        <f>HYPERLINK("https://storage.sslt.ae/ItemVariation/08DCFA78-4200-487B-87B8-D2B3E9DD6F63/F441F3A6-AB8F-462A-8DAD-1C4F6EC0C5AA.png","Variant Image")</f>
      </c>
      <c r="U899" s="0">
        <f>HYPERLINK("https://ec-qa-storage.kldlms.com/Item/08DCFA78-4200-487B-87B8-D2B3E9DD6F63/7D9C346A-1E30-49F6-9D79-37344223F045.png","Thumbnail Image")</f>
      </c>
      <c r="V899" s="0">
        <f>HYPERLINK("https://ec-qa-storage.kldlms.com/ItemGallery/08DCFA78-4200-487B-87B8-D2B3E9DD6F63/0DBADEC7-1735-4FB0-ACDC-D435549A2DE3.png","Gallery Image ")</f>
      </c>
      <c r="W899" s="0" t="s">
        <v>22</v>
      </c>
      <c r="X899" s="0" t="s">
        <v>3644</v>
      </c>
    </row>
    <row r="900">
      <c r="A900" s="0" t="s">
        <v>3645</v>
      </c>
      <c r="B900" s="0" t="s">
        <v>3645</v>
      </c>
      <c r="C900" s="0" t="s">
        <v>1000</v>
      </c>
      <c r="D900" s="0" t="s">
        <v>27</v>
      </c>
      <c r="E900" s="0" t="s">
        <v>3609</v>
      </c>
      <c r="F900" s="0" t="s">
        <v>3137</v>
      </c>
      <c r="G900" s="0" t="s">
        <v>3645</v>
      </c>
      <c r="H900" s="0" t="s">
        <v>3645</v>
      </c>
      <c r="I900" s="0" t="s">
        <v>3646</v>
      </c>
      <c r="J900" s="0" t="s">
        <v>3646</v>
      </c>
      <c r="K900" s="0" t="s">
        <v>551</v>
      </c>
      <c r="L900" s="0" t="s">
        <v>32</v>
      </c>
      <c r="M900" s="0" t="s">
        <v>61</v>
      </c>
      <c r="N900" s="0" t="s">
        <v>349</v>
      </c>
      <c r="O900" s="0" t="s">
        <v>35</v>
      </c>
      <c r="P900" s="0" t="s">
        <v>39</v>
      </c>
      <c r="Q900" s="0" t="s">
        <v>551</v>
      </c>
      <c r="R900" s="0" t="s">
        <v>1000</v>
      </c>
      <c r="S900" s="0" t="s">
        <v>32</v>
      </c>
      <c r="T900" s="0">
        <f>HYPERLINK("https://ec-qa-storage.kldlms.com/ItemVariation/08DCFA78-4256-4582-8331-CEFD94B75F3D/08E04FBE-1B1B-4AE6-BB01-E7F7DA91352F.jpg","Variant Image")</f>
      </c>
      <c r="U900" s="0">
        <f>HYPERLINK("https://ec-qa-storage.kldlms.com/Item/08DCFA78-4256-4582-8331-CEFD94B75F3D/60209B4A-5949-405A-9A23-DB595BD4CE73.jpg","Thumbnail Image")</f>
      </c>
      <c r="V900" s="0">
        <f>HYPERLINK("https://ec-qa-storage.kldlms.com/ItemGallery/08DCFA78-4256-4582-8331-CEFD94B75F3D/B3324F53-B015-4372-AB22-3040C2BBDCCB.webp","Gallery Image ")</f>
      </c>
      <c r="W900" s="0" t="s">
        <v>22</v>
      </c>
    </row>
    <row r="901">
      <c r="P901" s="0" t="s">
        <v>593</v>
      </c>
      <c r="Q901" s="0" t="s">
        <v>551</v>
      </c>
      <c r="R901" s="0" t="s">
        <v>3647</v>
      </c>
      <c r="S901" s="0" t="s">
        <v>32</v>
      </c>
      <c r="T901" s="0">
        <f>HYPERLINK("https://ec-qa-storage.kldlms.com/ItemVariation/08DCFA78-4256-4582-8331-CEFD94B75F3D/80D433BC-9F10-4FC9-8315-8FBCECDF6FA2.jpg","Variant Image")</f>
      </c>
    </row>
    <row r="902">
      <c r="P902" s="0" t="s">
        <v>3401</v>
      </c>
      <c r="Q902" s="0" t="s">
        <v>551</v>
      </c>
      <c r="R902" s="0" t="s">
        <v>3648</v>
      </c>
      <c r="S902" s="0" t="s">
        <v>32</v>
      </c>
      <c r="T902" s="0">
        <f>HYPERLINK("https://ec-qa-storage.kldlms.com/ItemVariation/08DCFA78-4256-4582-8331-CEFD94B75F3D/EFEB4B89-5491-4719-8BE1-FF9417801CAB.jpg","Variant Image")</f>
      </c>
    </row>
    <row r="903">
      <c r="A903" s="0" t="s">
        <v>3649</v>
      </c>
      <c r="B903" s="0" t="s">
        <v>3649</v>
      </c>
      <c r="C903" s="0" t="s">
        <v>3647</v>
      </c>
      <c r="D903" s="0" t="s">
        <v>27</v>
      </c>
      <c r="E903" s="0" t="s">
        <v>3583</v>
      </c>
      <c r="F903" s="0" t="s">
        <v>3120</v>
      </c>
      <c r="G903" s="0" t="s">
        <v>3649</v>
      </c>
      <c r="H903" s="0" t="s">
        <v>3649</v>
      </c>
      <c r="I903" s="0" t="s">
        <v>615</v>
      </c>
      <c r="J903" s="0" t="s">
        <v>615</v>
      </c>
      <c r="K903" s="0" t="s">
        <v>994</v>
      </c>
      <c r="L903" s="0" t="s">
        <v>32</v>
      </c>
      <c r="M903" s="0" t="s">
        <v>33</v>
      </c>
      <c r="N903" s="0" t="s">
        <v>772</v>
      </c>
      <c r="O903" s="0" t="s">
        <v>35</v>
      </c>
      <c r="P903" s="0" t="s">
        <v>39</v>
      </c>
      <c r="Q903" s="0" t="s">
        <v>997</v>
      </c>
      <c r="R903" s="0" t="s">
        <v>3647</v>
      </c>
      <c r="S903" s="0" t="s">
        <v>772</v>
      </c>
      <c r="T903" s="0">
        <f>HYPERLINK("https://storage.sslt.ae/ItemVariation/08DCFA78-42AA-4CFB-8707-9AF80D2FC43B/A1981785-8121-41FA-A168-D1CC6DF5E400.png","Variant Image")</f>
      </c>
      <c r="U903" s="0">
        <f>HYPERLINK("https://ec-qa-storage.kldlms.com/Item/08DCFA78-42AA-4CFB-8707-9AF80D2FC43B/73642D3F-36E0-4B37-B014-09B56E7A40ED.png","Thumbnail Image")</f>
      </c>
      <c r="V903" s="0">
        <f>HYPERLINK("https://ec-qa-storage.kldlms.com/ItemGallery/08DCFA78-42AA-4CFB-8707-9AF80D2FC43B/9370C6C6-3B21-410D-B8D6-2FB69D641BB7.png","Gallery Image ")</f>
      </c>
      <c r="W903" s="0" t="s">
        <v>22</v>
      </c>
      <c r="X903" s="0" t="s">
        <v>3650</v>
      </c>
    </row>
    <row r="904">
      <c r="A904" s="0" t="s">
        <v>3651</v>
      </c>
      <c r="B904" s="0" t="s">
        <v>3651</v>
      </c>
      <c r="C904" s="0" t="s">
        <v>3648</v>
      </c>
      <c r="D904" s="0" t="s">
        <v>27</v>
      </c>
      <c r="E904" s="0" t="s">
        <v>3583</v>
      </c>
      <c r="F904" s="0" t="s">
        <v>3120</v>
      </c>
      <c r="G904" s="0" t="s">
        <v>3651</v>
      </c>
      <c r="H904" s="0" t="s">
        <v>3651</v>
      </c>
      <c r="I904" s="0" t="s">
        <v>615</v>
      </c>
      <c r="J904" s="0" t="s">
        <v>615</v>
      </c>
      <c r="K904" s="0" t="s">
        <v>3263</v>
      </c>
      <c r="L904" s="0" t="s">
        <v>32</v>
      </c>
      <c r="M904" s="0" t="s">
        <v>33</v>
      </c>
      <c r="N904" s="0" t="s">
        <v>100</v>
      </c>
      <c r="O904" s="0" t="s">
        <v>35</v>
      </c>
      <c r="P904" s="0" t="s">
        <v>39</v>
      </c>
      <c r="Q904" s="0" t="s">
        <v>3264</v>
      </c>
      <c r="R904" s="0" t="s">
        <v>3648</v>
      </c>
      <c r="S904" s="0" t="s">
        <v>100</v>
      </c>
      <c r="T904" s="0">
        <f>HYPERLINK("https://storage.sslt.ae/ItemVariation/08DCFA78-42F7-4E6C-8765-18B98DE02C9C/912314CC-9633-4447-A005-A748FB42AEDB.png","Variant Image")</f>
      </c>
      <c r="U904" s="0">
        <f>HYPERLINK("https://ec-qa-storage.kldlms.com/Item/08DCFA78-42F7-4E6C-8765-18B98DE02C9C/02EF4BDF-DCD0-4631-9CDB-6AA52A86E9B2.png","Thumbnail Image")</f>
      </c>
      <c r="V904" s="0">
        <f>HYPERLINK("https://ec-qa-storage.kldlms.com/ItemGallery/08DCFA78-42F7-4E6C-8765-18B98DE02C9C/E8CAD192-5707-4BA4-9902-41623A1AA89C.png","Gallery Image ")</f>
      </c>
      <c r="W904" s="0" t="s">
        <v>22</v>
      </c>
      <c r="X904" s="0" t="s">
        <v>3652</v>
      </c>
    </row>
    <row r="905">
      <c r="A905" s="0" t="s">
        <v>3653</v>
      </c>
      <c r="B905" s="0" t="s">
        <v>3653</v>
      </c>
      <c r="C905" s="0" t="s">
        <v>3654</v>
      </c>
      <c r="D905" s="0" t="s">
        <v>27</v>
      </c>
      <c r="E905" s="0" t="s">
        <v>3583</v>
      </c>
      <c r="F905" s="0" t="s">
        <v>3120</v>
      </c>
      <c r="G905" s="0" t="s">
        <v>3653</v>
      </c>
      <c r="H905" s="0" t="s">
        <v>3653</v>
      </c>
      <c r="I905" s="0" t="s">
        <v>615</v>
      </c>
      <c r="J905" s="0" t="s">
        <v>615</v>
      </c>
      <c r="K905" s="0" t="s">
        <v>994</v>
      </c>
      <c r="L905" s="0" t="s">
        <v>32</v>
      </c>
      <c r="M905" s="0" t="s">
        <v>33</v>
      </c>
      <c r="N905" s="0" t="s">
        <v>254</v>
      </c>
      <c r="O905" s="0" t="s">
        <v>35</v>
      </c>
      <c r="P905" s="0" t="s">
        <v>39</v>
      </c>
      <c r="Q905" s="0" t="s">
        <v>997</v>
      </c>
      <c r="R905" s="0" t="s">
        <v>3654</v>
      </c>
      <c r="S905" s="0" t="s">
        <v>254</v>
      </c>
      <c r="T905" s="0">
        <f>HYPERLINK("https://storage.sslt.ae/ItemVariation/08DCFA78-4352-4F23-8E7B-653A00EA5E1F/D79DCFB5-659B-4F79-9EBE-76D220E6EC89.png","Variant Image")</f>
      </c>
      <c r="U905" s="0">
        <f>HYPERLINK("https://ec-qa-storage.kldlms.com/Item/08DCFA78-4352-4F23-8E7B-653A00EA5E1F/0E9D13CC-5C13-4660-8F3E-4BC187430919.png","Thumbnail Image")</f>
      </c>
      <c r="V905" s="0">
        <f>HYPERLINK("https://ec-qa-storage.kldlms.com/ItemGallery/08DCFA78-4352-4F23-8E7B-653A00EA5E1F/DBEF43E5-BFE5-4282-AE5B-6BC8B909756C.png","Gallery Image ")</f>
      </c>
      <c r="W905" s="0" t="s">
        <v>22</v>
      </c>
      <c r="X905" s="0" t="s">
        <v>3655</v>
      </c>
    </row>
    <row r="906">
      <c r="A906" s="0" t="s">
        <v>3656</v>
      </c>
      <c r="B906" s="0" t="s">
        <v>3656</v>
      </c>
      <c r="C906" s="0" t="s">
        <v>3657</v>
      </c>
      <c r="D906" s="0" t="s">
        <v>27</v>
      </c>
      <c r="E906" s="0" t="s">
        <v>3583</v>
      </c>
      <c r="F906" s="0" t="s">
        <v>3120</v>
      </c>
      <c r="G906" s="0" t="s">
        <v>3656</v>
      </c>
      <c r="H906" s="0" t="s">
        <v>3656</v>
      </c>
      <c r="I906" s="0" t="s">
        <v>615</v>
      </c>
      <c r="J906" s="0" t="s">
        <v>615</v>
      </c>
      <c r="K906" s="0" t="s">
        <v>3658</v>
      </c>
      <c r="L906" s="0" t="s">
        <v>32</v>
      </c>
      <c r="M906" s="0" t="s">
        <v>33</v>
      </c>
      <c r="N906" s="0" t="s">
        <v>1030</v>
      </c>
      <c r="O906" s="0" t="s">
        <v>35</v>
      </c>
      <c r="P906" s="0" t="s">
        <v>39</v>
      </c>
      <c r="Q906" s="0" t="s">
        <v>3659</v>
      </c>
      <c r="R906" s="0" t="s">
        <v>3657</v>
      </c>
      <c r="S906" s="0" t="s">
        <v>1030</v>
      </c>
      <c r="T906" s="0">
        <f>HYPERLINK("https://storage.sslt.ae/ItemVariation/08DCFA78-43AF-4D04-81DA-B10031ECA36E/074F287E-0722-4E90-A114-B93D84C1B996.png","Variant Image")</f>
      </c>
      <c r="U906" s="0">
        <f>HYPERLINK("https://ec-qa-storage.kldlms.com/Item/08DCFA78-43AF-4D04-81DA-B10031ECA36E/88B5FEC2-E2AC-4302-B354-CF425AF5EFEF.png","Thumbnail Image")</f>
      </c>
      <c r="V906" s="0">
        <f>HYPERLINK("https://ec-qa-storage.kldlms.com/ItemGallery/08DCFA78-43AF-4D04-81DA-B10031ECA36E/96792435-A586-4F5C-B152-572F80572D3C.png","Gallery Image ")</f>
      </c>
      <c r="W906" s="0" t="s">
        <v>22</v>
      </c>
      <c r="X906" s="0" t="s">
        <v>3660</v>
      </c>
    </row>
    <row r="907">
      <c r="A907" s="0" t="s">
        <v>3661</v>
      </c>
      <c r="B907" s="0" t="s">
        <v>3661</v>
      </c>
      <c r="C907" s="0" t="s">
        <v>3662</v>
      </c>
      <c r="D907" s="0" t="s">
        <v>27</v>
      </c>
      <c r="E907" s="0" t="s">
        <v>3160</v>
      </c>
      <c r="F907" s="0" t="s">
        <v>3137</v>
      </c>
      <c r="G907" s="0" t="s">
        <v>3661</v>
      </c>
      <c r="H907" s="0" t="s">
        <v>3661</v>
      </c>
      <c r="I907" s="0" t="s">
        <v>3663</v>
      </c>
      <c r="J907" s="0" t="s">
        <v>3663</v>
      </c>
      <c r="K907" s="0" t="s">
        <v>596</v>
      </c>
      <c r="L907" s="0" t="s">
        <v>32</v>
      </c>
      <c r="M907" s="0" t="s">
        <v>61</v>
      </c>
      <c r="N907" s="0" t="s">
        <v>3601</v>
      </c>
      <c r="O907" s="0" t="s">
        <v>35</v>
      </c>
      <c r="P907" s="0" t="s">
        <v>39</v>
      </c>
      <c r="Q907" s="0" t="s">
        <v>596</v>
      </c>
      <c r="R907" s="0" t="s">
        <v>3662</v>
      </c>
      <c r="S907" s="0" t="s">
        <v>32</v>
      </c>
      <c r="T907" s="0">
        <f>HYPERLINK("https://ec-qa-storage.kldlms.com/ItemVariation/08DCFA78-440D-493F-8F32-0DBBDAF12E22/BC590393-FF6A-4285-BEAC-97302E7F9D5B.jpg","Variant Image")</f>
      </c>
      <c r="U907" s="0">
        <f>HYPERLINK("https://ec-qa-storage.kldlms.com/Item/08DCFA78-440D-493F-8F32-0DBBDAF12E22/65709E9A-80D8-4320-AA5D-DCAD2ADFD752.jpg","Thumbnail Image")</f>
      </c>
      <c r="V907" s="0">
        <f>HYPERLINK("https://ec-qa-storage.kldlms.com/ItemGallery/08DCFA78-440D-493F-8F32-0DBBDAF12E22/1D7AEEC1-95A7-4897-90FA-F8A5614F48D4.jpg","Gallery Image ")</f>
      </c>
      <c r="W907" s="0" t="s">
        <v>22</v>
      </c>
    </row>
    <row r="908">
      <c r="A908" s="0" t="s">
        <v>3664</v>
      </c>
      <c r="B908" s="0" t="s">
        <v>3664</v>
      </c>
      <c r="C908" s="0" t="s">
        <v>3665</v>
      </c>
      <c r="D908" s="0" t="s">
        <v>27</v>
      </c>
      <c r="E908" s="0" t="s">
        <v>3583</v>
      </c>
      <c r="F908" s="0" t="s">
        <v>3120</v>
      </c>
      <c r="G908" s="0" t="s">
        <v>3664</v>
      </c>
      <c r="H908" s="0" t="s">
        <v>3664</v>
      </c>
      <c r="I908" s="0" t="s">
        <v>615</v>
      </c>
      <c r="J908" s="0" t="s">
        <v>615</v>
      </c>
      <c r="K908" s="0" t="s">
        <v>3666</v>
      </c>
      <c r="L908" s="0" t="s">
        <v>32</v>
      </c>
      <c r="M908" s="0" t="s">
        <v>33</v>
      </c>
      <c r="N908" s="0" t="s">
        <v>35</v>
      </c>
      <c r="O908" s="0" t="s">
        <v>35</v>
      </c>
      <c r="P908" s="0" t="s">
        <v>39</v>
      </c>
      <c r="Q908" s="0" t="s">
        <v>3667</v>
      </c>
      <c r="R908" s="0" t="s">
        <v>3665</v>
      </c>
      <c r="S908" s="0" t="s">
        <v>35</v>
      </c>
      <c r="T908" s="0">
        <f>HYPERLINK("https://storage.sslt.ae/ItemVariation/08DCFA78-446A-48E9-8142-4CF78C8718BE/E8E9F6B1-649F-4A2B-9454-0B2AF0D9F0A6.png","Variant Image")</f>
      </c>
      <c r="U908" s="0">
        <f>HYPERLINK("https://ec-qa-storage.kldlms.com/Item/08DCFA78-446A-48E9-8142-4CF78C8718BE/51E07BEC-A0C9-46E5-9D1F-DE95E76D03C7.png","Thumbnail Image")</f>
      </c>
      <c r="V908" s="0">
        <f>HYPERLINK("https://ec-qa-storage.kldlms.com/ItemGallery/08DCFA78-446A-48E9-8142-4CF78C8718BE/3EEBD52A-5F0A-40AE-92F7-5746BAC15091.png","Gallery Image ")</f>
      </c>
      <c r="W908" s="0" t="s">
        <v>22</v>
      </c>
      <c r="X908" s="0" t="s">
        <v>3668</v>
      </c>
    </row>
    <row r="909">
      <c r="A909" s="0" t="s">
        <v>3669</v>
      </c>
      <c r="B909" s="0" t="s">
        <v>3669</v>
      </c>
      <c r="C909" s="0" t="s">
        <v>3670</v>
      </c>
      <c r="D909" s="0" t="s">
        <v>27</v>
      </c>
      <c r="E909" s="0" t="s">
        <v>3583</v>
      </c>
      <c r="F909" s="0" t="s">
        <v>3120</v>
      </c>
      <c r="G909" s="0" t="s">
        <v>3669</v>
      </c>
      <c r="H909" s="0" t="s">
        <v>3669</v>
      </c>
      <c r="I909" s="0" t="s">
        <v>615</v>
      </c>
      <c r="J909" s="0" t="s">
        <v>615</v>
      </c>
      <c r="K909" s="0" t="s">
        <v>3671</v>
      </c>
      <c r="L909" s="0" t="s">
        <v>32</v>
      </c>
      <c r="M909" s="0" t="s">
        <v>33</v>
      </c>
      <c r="N909" s="0" t="s">
        <v>337</v>
      </c>
      <c r="O909" s="0" t="s">
        <v>35</v>
      </c>
      <c r="P909" s="0" t="s">
        <v>39</v>
      </c>
      <c r="Q909" s="0" t="s">
        <v>3672</v>
      </c>
      <c r="R909" s="0" t="s">
        <v>3670</v>
      </c>
      <c r="S909" s="0" t="s">
        <v>337</v>
      </c>
      <c r="T909" s="0">
        <f>HYPERLINK("https://storage.sslt.ae/ItemVariation/08DCFA78-44C5-4F19-81D8-38B5921E38F0/4219AD5C-9619-4D98-8955-C745491C4239.png","Variant Image")</f>
      </c>
      <c r="U909" s="0">
        <f>HYPERLINK("https://ec-qa-storage.kldlms.com/Item/08DCFA78-44C5-4F19-81D8-38B5921E38F0/59DA0CB2-C888-4D2E-BC7C-8C0470398A60.png","Thumbnail Image")</f>
      </c>
      <c r="V909" s="0">
        <f>HYPERLINK("https://ec-qa-storage.kldlms.com/ItemGallery/08DCFA78-44C5-4F19-81D8-38B5921E38F0/8CA7E44D-2888-472C-92B1-C92623CA236F.png","Gallery Image ")</f>
      </c>
      <c r="W909" s="0" t="s">
        <v>22</v>
      </c>
      <c r="X909" s="0" t="s">
        <v>3673</v>
      </c>
    </row>
    <row r="910">
      <c r="A910" s="0" t="s">
        <v>3674</v>
      </c>
      <c r="B910" s="0" t="s">
        <v>3674</v>
      </c>
      <c r="C910" s="0" t="s">
        <v>3675</v>
      </c>
      <c r="D910" s="0" t="s">
        <v>27</v>
      </c>
      <c r="E910" s="0" t="s">
        <v>3583</v>
      </c>
      <c r="F910" s="0" t="s">
        <v>557</v>
      </c>
      <c r="G910" s="0" t="s">
        <v>3674</v>
      </c>
      <c r="H910" s="0" t="s">
        <v>3674</v>
      </c>
      <c r="I910" s="0" t="s">
        <v>615</v>
      </c>
      <c r="J910" s="0" t="s">
        <v>615</v>
      </c>
      <c r="K910" s="0" t="s">
        <v>3676</v>
      </c>
      <c r="L910" s="0" t="s">
        <v>32</v>
      </c>
      <c r="M910" s="0" t="s">
        <v>33</v>
      </c>
      <c r="N910" s="0" t="s">
        <v>866</v>
      </c>
      <c r="O910" s="0" t="s">
        <v>35</v>
      </c>
      <c r="P910" s="0" t="s">
        <v>39</v>
      </c>
      <c r="Q910" s="0" t="s">
        <v>3677</v>
      </c>
      <c r="R910" s="0" t="s">
        <v>3675</v>
      </c>
      <c r="S910" s="0" t="s">
        <v>866</v>
      </c>
      <c r="T910" s="0">
        <f>HYPERLINK("https://storage.sslt.ae/ItemVariation/08DCFA78-459E-499C-8F35-E5194123AB59/26661211-22F8-41C5-93AE-A3FB466C77AD.png","Variant Image")</f>
      </c>
      <c r="U910" s="0">
        <f>HYPERLINK("https://ec-qa-storage.kldlms.com/Item/08DCFA78-459E-499C-8F35-E5194123AB59/6176D836-BCED-481E-93EC-E0FA4F35266F.png","Thumbnail Image")</f>
      </c>
      <c r="V910" s="0">
        <f>HYPERLINK("https://ec-qa-storage.kldlms.com/ItemGallery/08DCFA78-459E-499C-8F35-E5194123AB59/E058303C-F580-436A-8115-7E549B20A223.png","Gallery Image ")</f>
      </c>
      <c r="W910" s="0" t="s">
        <v>22</v>
      </c>
      <c r="X910" s="0" t="s">
        <v>3678</v>
      </c>
    </row>
    <row r="911">
      <c r="A911" s="0" t="s">
        <v>3679</v>
      </c>
      <c r="B911" s="0" t="s">
        <v>3679</v>
      </c>
      <c r="C911" s="0" t="s">
        <v>3680</v>
      </c>
      <c r="D911" s="0" t="s">
        <v>27</v>
      </c>
      <c r="E911" s="0" t="s">
        <v>3583</v>
      </c>
      <c r="F911" s="0" t="s">
        <v>557</v>
      </c>
      <c r="G911" s="0" t="s">
        <v>3679</v>
      </c>
      <c r="H911" s="0" t="s">
        <v>3679</v>
      </c>
      <c r="I911" s="0" t="s">
        <v>615</v>
      </c>
      <c r="J911" s="0" t="s">
        <v>615</v>
      </c>
      <c r="K911" s="0" t="s">
        <v>3681</v>
      </c>
      <c r="L911" s="0" t="s">
        <v>32</v>
      </c>
      <c r="M911" s="0" t="s">
        <v>33</v>
      </c>
      <c r="N911" s="0" t="s">
        <v>404</v>
      </c>
      <c r="O911" s="0" t="s">
        <v>35</v>
      </c>
      <c r="P911" s="0" t="s">
        <v>39</v>
      </c>
      <c r="Q911" s="0" t="s">
        <v>3682</v>
      </c>
      <c r="R911" s="0" t="s">
        <v>3680</v>
      </c>
      <c r="S911" s="0" t="s">
        <v>404</v>
      </c>
      <c r="T911" s="0">
        <f>HYPERLINK("https://storage.sslt.ae/ItemVariation/08DCFA78-45F9-4169-8D69-D0AA78FAD255/72DA22EC-219A-4B11-A8AB-FE19EBD31FBD.png","Variant Image")</f>
      </c>
      <c r="U911" s="0">
        <f>HYPERLINK("https://ec-qa-storage.kldlms.com/Item/08DCFA78-45F9-4169-8D69-D0AA78FAD255/85743E9C-509C-4FA0-B9EE-3DFDA077F5FC.png","Thumbnail Image")</f>
      </c>
      <c r="V911" s="0">
        <f>HYPERLINK("https://ec-qa-storage.kldlms.com/ItemGallery/08DCFA78-45F9-4169-8D69-D0AA78FAD255/E5EF6C5F-BFE0-4B77-B306-7C2B5925B9C0.png","Gallery Image ")</f>
      </c>
      <c r="W911" s="0" t="s">
        <v>22</v>
      </c>
      <c r="X911" s="0" t="s">
        <v>3683</v>
      </c>
    </row>
    <row r="912">
      <c r="A912" s="0" t="s">
        <v>3684</v>
      </c>
      <c r="B912" s="0" t="s">
        <v>3684</v>
      </c>
      <c r="C912" s="0" t="s">
        <v>3685</v>
      </c>
      <c r="D912" s="0" t="s">
        <v>27</v>
      </c>
      <c r="E912" s="0" t="s">
        <v>3583</v>
      </c>
      <c r="F912" s="0" t="s">
        <v>557</v>
      </c>
      <c r="G912" s="0" t="s">
        <v>3684</v>
      </c>
      <c r="H912" s="0" t="s">
        <v>3684</v>
      </c>
      <c r="I912" s="0" t="s">
        <v>615</v>
      </c>
      <c r="J912" s="0" t="s">
        <v>615</v>
      </c>
      <c r="K912" s="0" t="s">
        <v>3686</v>
      </c>
      <c r="L912" s="0" t="s">
        <v>32</v>
      </c>
      <c r="M912" s="0" t="s">
        <v>33</v>
      </c>
      <c r="N912" s="0" t="s">
        <v>140</v>
      </c>
      <c r="O912" s="0" t="s">
        <v>35</v>
      </c>
      <c r="P912" s="0" t="s">
        <v>39</v>
      </c>
      <c r="Q912" s="0" t="s">
        <v>3687</v>
      </c>
      <c r="R912" s="0" t="s">
        <v>3685</v>
      </c>
      <c r="S912" s="0" t="s">
        <v>140</v>
      </c>
      <c r="T912" s="0">
        <f>HYPERLINK("https://storage.sslt.ae/ItemVariation/08DCFA78-4654-4A8C-82CD-807C31158D4B/C7243F30-5529-4B4F-8EEA-2EBCF54197CF.png","Variant Image")</f>
      </c>
      <c r="U912" s="0">
        <f>HYPERLINK("https://ec-qa-storage.kldlms.com/Item/08DCFA78-4654-4A8C-82CD-807C31158D4B/0598D4AF-7951-4EB7-9955-7FAB98A38CD4.png","Thumbnail Image")</f>
      </c>
      <c r="V912" s="0">
        <f>HYPERLINK("https://ec-qa-storage.kldlms.com/ItemGallery/08DCFA78-4654-4A8C-82CD-807C31158D4B/CED68C08-CB22-4F9F-A038-03E3F67DFBDF.png","Gallery Image ")</f>
      </c>
      <c r="W912" s="0" t="s">
        <v>22</v>
      </c>
      <c r="X912" s="0" t="s">
        <v>3688</v>
      </c>
    </row>
    <row r="913">
      <c r="A913" s="0" t="s">
        <v>3689</v>
      </c>
      <c r="B913" s="0" t="s">
        <v>3689</v>
      </c>
      <c r="C913" s="0" t="s">
        <v>3690</v>
      </c>
      <c r="D913" s="0" t="s">
        <v>27</v>
      </c>
      <c r="E913" s="0" t="s">
        <v>3160</v>
      </c>
      <c r="F913" s="0" t="s">
        <v>3137</v>
      </c>
      <c r="G913" s="0" t="s">
        <v>3689</v>
      </c>
      <c r="H913" s="0" t="s">
        <v>3689</v>
      </c>
      <c r="I913" s="0" t="s">
        <v>3691</v>
      </c>
      <c r="J913" s="0" t="s">
        <v>3691</v>
      </c>
      <c r="K913" s="0" t="s">
        <v>3692</v>
      </c>
      <c r="L913" s="0" t="s">
        <v>32</v>
      </c>
      <c r="M913" s="0" t="s">
        <v>61</v>
      </c>
      <c r="N913" s="0" t="s">
        <v>202</v>
      </c>
      <c r="O913" s="0" t="s">
        <v>35</v>
      </c>
      <c r="P913" s="0" t="s">
        <v>39</v>
      </c>
      <c r="Q913" s="0" t="s">
        <v>3693</v>
      </c>
      <c r="R913" s="0" t="s">
        <v>3690</v>
      </c>
      <c r="S913" s="0" t="s">
        <v>202</v>
      </c>
      <c r="T913" s="0">
        <f>HYPERLINK("https://storage.sslt.ae/ItemVariation/08DCFA78-46B1-4D17-8165-AEBB77B356CC/8F42B8CC-9401-496E-87EB-DC967A7DB0F0.png","Variant Image")</f>
      </c>
      <c r="U913" s="0">
        <f>HYPERLINK("https://ec-qa-storage.kldlms.com/Item/08DCFA78-46B1-4D17-8165-AEBB77B356CC/8605C160-4207-4B7C-8FF9-1CC793C0E1CC.webp","Thumbnail Image")</f>
      </c>
      <c r="V913" s="0">
        <f>HYPERLINK("https://ec-qa-storage.kldlms.com/ItemGallery/08DCFA78-46B1-4D17-8165-AEBB77B356CC/20F1D47F-D692-4904-952E-5D7E87A0ABBB.webp","Gallery Image ")</f>
      </c>
      <c r="W913" s="0" t="s">
        <v>22</v>
      </c>
    </row>
    <row r="914">
      <c r="P914" s="0" t="s">
        <v>527</v>
      </c>
      <c r="Q914" s="0" t="s">
        <v>3692</v>
      </c>
      <c r="R914" s="0" t="s">
        <v>3690</v>
      </c>
      <c r="S914" s="0" t="s">
        <v>32</v>
      </c>
      <c r="T914" s="0">
        <f>HYPERLINK("https://ec-qa-storage.kldlms.com/ItemVariation/08DCFA78-46B1-4D17-8165-AEBB77B356CC/8B8F6F67-C808-4D9F-A073-B1C7B98A2BDE.webp","Variant Image")</f>
      </c>
    </row>
    <row r="915">
      <c r="A915" s="0" t="s">
        <v>3694</v>
      </c>
      <c r="B915" s="0" t="s">
        <v>3694</v>
      </c>
      <c r="C915" s="0" t="s">
        <v>3695</v>
      </c>
      <c r="D915" s="0" t="s">
        <v>27</v>
      </c>
      <c r="E915" s="0" t="s">
        <v>3160</v>
      </c>
      <c r="F915" s="0" t="s">
        <v>3137</v>
      </c>
      <c r="G915" s="0" t="s">
        <v>3694</v>
      </c>
      <c r="H915" s="0" t="s">
        <v>3694</v>
      </c>
      <c r="I915" s="0" t="s">
        <v>3696</v>
      </c>
      <c r="J915" s="0" t="s">
        <v>3696</v>
      </c>
      <c r="K915" s="0" t="s">
        <v>3697</v>
      </c>
      <c r="L915" s="0" t="s">
        <v>32</v>
      </c>
      <c r="M915" s="0" t="s">
        <v>61</v>
      </c>
      <c r="N915" s="0" t="s">
        <v>404</v>
      </c>
      <c r="O915" s="0" t="s">
        <v>35</v>
      </c>
      <c r="P915" s="0" t="s">
        <v>39</v>
      </c>
      <c r="Q915" s="0" t="s">
        <v>3698</v>
      </c>
      <c r="R915" s="0" t="s">
        <v>3695</v>
      </c>
      <c r="S915" s="0" t="s">
        <v>404</v>
      </c>
      <c r="T915" s="0">
        <f>HYPERLINK("https://storage.sslt.ae/ItemVariation/08DCFA78-470C-4011-85F5-46F08FEC0907/CEA37DE7-7415-4D40-9A02-821778D10C7B.png","Variant Image")</f>
      </c>
      <c r="U915" s="0">
        <f>HYPERLINK("https://ec-qa-storage.kldlms.com/Item/08DCFA78-470C-4011-85F5-46F08FEC0907/A8BEE5AB-81A8-47BF-9D3E-C2341F0ECFC1.jpg","Thumbnail Image")</f>
      </c>
      <c r="V915" s="0">
        <f>HYPERLINK("https://ec-qa-storage.kldlms.com/ItemGallery/08DCFA78-470C-4011-85F5-46F08FEC0907/F4A1FBC7-C018-4CBD-883C-2C72367DD96F.jpg","Gallery Image ")</f>
      </c>
      <c r="W915" s="0" t="s">
        <v>22</v>
      </c>
    </row>
    <row r="916">
      <c r="P916" s="0" t="s">
        <v>527</v>
      </c>
      <c r="Q916" s="0" t="s">
        <v>3697</v>
      </c>
      <c r="R916" s="0" t="s">
        <v>3695</v>
      </c>
      <c r="S916" s="0" t="s">
        <v>32</v>
      </c>
      <c r="T916" s="0">
        <f>HYPERLINK("https://ec-qa-storage.kldlms.com/ItemVariation/08DCFA78-470C-4011-85F5-46F08FEC0907/54ED36BC-D4CE-4E55-A65B-D8C79D755D79.jpg","Variant Image")</f>
      </c>
    </row>
    <row r="917">
      <c r="A917" s="0" t="s">
        <v>3699</v>
      </c>
      <c r="B917" s="0" t="s">
        <v>3699</v>
      </c>
      <c r="C917" s="0" t="s">
        <v>3700</v>
      </c>
      <c r="D917" s="0" t="s">
        <v>27</v>
      </c>
      <c r="E917" s="0" t="s">
        <v>3583</v>
      </c>
      <c r="F917" s="0" t="s">
        <v>557</v>
      </c>
      <c r="G917" s="0" t="s">
        <v>3699</v>
      </c>
      <c r="H917" s="0" t="s">
        <v>3699</v>
      </c>
      <c r="I917" s="0" t="s">
        <v>615</v>
      </c>
      <c r="J917" s="0" t="s">
        <v>615</v>
      </c>
      <c r="K917" s="0" t="s">
        <v>3701</v>
      </c>
      <c r="L917" s="0" t="s">
        <v>32</v>
      </c>
      <c r="M917" s="0" t="s">
        <v>33</v>
      </c>
      <c r="N917" s="0" t="s">
        <v>155</v>
      </c>
      <c r="O917" s="0" t="s">
        <v>35</v>
      </c>
      <c r="P917" s="0" t="s">
        <v>39</v>
      </c>
      <c r="Q917" s="0" t="s">
        <v>3702</v>
      </c>
      <c r="R917" s="0" t="s">
        <v>3700</v>
      </c>
      <c r="S917" s="0" t="s">
        <v>155</v>
      </c>
      <c r="T917" s="0">
        <f>HYPERLINK("https://storage.sslt.ae/ItemVariation/08DCFA78-4769-4144-8450-513EB535F579/0678E3BE-3CCE-46F7-8482-BC426847BBD3.png","Variant Image")</f>
      </c>
      <c r="U917" s="0">
        <f>HYPERLINK("https://ec-qa-storage.kldlms.com/Item/08DCFA78-4769-4144-8450-513EB535F579/0367EF0D-C01E-453E-BBBD-28C096A8AE47.png","Thumbnail Image")</f>
      </c>
      <c r="V917" s="0">
        <f>HYPERLINK("https://ec-qa-storage.kldlms.com/ItemGallery/08DCFA78-4769-4144-8450-513EB535F579/4277E9A7-7055-43BD-8966-327EA74657BB.png","Gallery Image ")</f>
      </c>
      <c r="W917" s="0" t="s">
        <v>22</v>
      </c>
      <c r="X917" s="0" t="s">
        <v>3703</v>
      </c>
    </row>
    <row r="918">
      <c r="A918" s="0" t="s">
        <v>3704</v>
      </c>
      <c r="B918" s="0" t="s">
        <v>3704</v>
      </c>
      <c r="C918" s="0" t="s">
        <v>3705</v>
      </c>
      <c r="D918" s="0" t="s">
        <v>27</v>
      </c>
      <c r="E918" s="0" t="s">
        <v>3583</v>
      </c>
      <c r="F918" s="0" t="s">
        <v>557</v>
      </c>
      <c r="G918" s="0" t="s">
        <v>3704</v>
      </c>
      <c r="H918" s="0" t="s">
        <v>3704</v>
      </c>
      <c r="I918" s="0" t="s">
        <v>615</v>
      </c>
      <c r="J918" s="0" t="s">
        <v>615</v>
      </c>
      <c r="K918" s="0" t="s">
        <v>3706</v>
      </c>
      <c r="L918" s="0" t="s">
        <v>32</v>
      </c>
      <c r="M918" s="0" t="s">
        <v>33</v>
      </c>
      <c r="N918" s="0" t="s">
        <v>349</v>
      </c>
      <c r="O918" s="0" t="s">
        <v>35</v>
      </c>
      <c r="P918" s="0" t="s">
        <v>39</v>
      </c>
      <c r="Q918" s="0" t="s">
        <v>3707</v>
      </c>
      <c r="R918" s="0" t="s">
        <v>3705</v>
      </c>
      <c r="S918" s="0" t="s">
        <v>349</v>
      </c>
      <c r="T918" s="0">
        <f>HYPERLINK("https://storage.sslt.ae/ItemVariation/08DCFA78-4821-4B1C-856D-65AEE9466928/89B6E1E2-96F1-47AB-B95A-856F15FE4384.png","Variant Image")</f>
      </c>
      <c r="U918" s="0">
        <f>HYPERLINK("https://ec-qa-storage.kldlms.com/Item/08DCFA78-4821-4B1C-856D-65AEE9466928/88D4365E-A017-4B5B-87C0-9202C2EBFE3F.png","Thumbnail Image")</f>
      </c>
      <c r="V918" s="0">
        <f>HYPERLINK("https://ec-qa-storage.kldlms.com/ItemGallery/08DCFA78-4821-4B1C-856D-65AEE9466928/19A5F09D-5B96-4A55-BB57-B19FFD963876.png","Gallery Image ")</f>
      </c>
      <c r="W918" s="0" t="s">
        <v>22</v>
      </c>
      <c r="X918" s="0" t="s">
        <v>3708</v>
      </c>
    </row>
    <row r="919">
      <c r="A919" s="0" t="s">
        <v>3709</v>
      </c>
      <c r="B919" s="0" t="s">
        <v>3709</v>
      </c>
      <c r="C919" s="0" t="s">
        <v>3710</v>
      </c>
      <c r="D919" s="0" t="s">
        <v>27</v>
      </c>
      <c r="E919" s="0" t="s">
        <v>3583</v>
      </c>
      <c r="F919" s="0" t="s">
        <v>557</v>
      </c>
      <c r="G919" s="0" t="s">
        <v>3709</v>
      </c>
      <c r="H919" s="0" t="s">
        <v>3709</v>
      </c>
      <c r="I919" s="0" t="s">
        <v>615</v>
      </c>
      <c r="J919" s="0" t="s">
        <v>615</v>
      </c>
      <c r="K919" s="0" t="s">
        <v>3711</v>
      </c>
      <c r="L919" s="0" t="s">
        <v>32</v>
      </c>
      <c r="M919" s="0" t="s">
        <v>33</v>
      </c>
      <c r="N919" s="0" t="s">
        <v>404</v>
      </c>
      <c r="O919" s="0" t="s">
        <v>35</v>
      </c>
      <c r="P919" s="0" t="s">
        <v>39</v>
      </c>
      <c r="Q919" s="0" t="s">
        <v>3712</v>
      </c>
      <c r="R919" s="0" t="s">
        <v>3710</v>
      </c>
      <c r="S919" s="0" t="s">
        <v>404</v>
      </c>
      <c r="T919" s="0">
        <f>HYPERLINK("https://storage.sslt.ae/ItemVariation/08DCFA78-487D-4B51-8097-2FAD5EA75532/E87A8C12-6D5A-4BA3-9EB0-60B5D8BDE1AA.png","Variant Image")</f>
      </c>
      <c r="U919" s="0">
        <f>HYPERLINK("https://ec-qa-storage.kldlms.com/Item/08DCFA78-487D-4B51-8097-2FAD5EA75532/8CA9496D-16EA-48D2-B277-F96F59DD46B3.png","Thumbnail Image")</f>
      </c>
      <c r="V919" s="0">
        <f>HYPERLINK("https://ec-qa-storage.kldlms.com/ItemGallery/08DCFA78-487D-4B51-8097-2FAD5EA75532/F2A41160-8C1E-4323-B941-8451B5B778A5.png","Gallery Image ")</f>
      </c>
      <c r="W919" s="0" t="s">
        <v>22</v>
      </c>
      <c r="X919" s="0" t="s">
        <v>3713</v>
      </c>
    </row>
    <row r="920">
      <c r="A920" s="0" t="s">
        <v>3714</v>
      </c>
      <c r="B920" s="0" t="s">
        <v>3714</v>
      </c>
      <c r="C920" s="0" t="s">
        <v>3715</v>
      </c>
      <c r="D920" s="0" t="s">
        <v>27</v>
      </c>
      <c r="E920" s="0" t="s">
        <v>3160</v>
      </c>
      <c r="F920" s="0" t="s">
        <v>3137</v>
      </c>
      <c r="G920" s="0" t="s">
        <v>3714</v>
      </c>
      <c r="H920" s="0" t="s">
        <v>3714</v>
      </c>
      <c r="I920" s="0" t="s">
        <v>3716</v>
      </c>
      <c r="J920" s="0" t="s">
        <v>3716</v>
      </c>
      <c r="K920" s="0" t="s">
        <v>3717</v>
      </c>
      <c r="L920" s="0" t="s">
        <v>32</v>
      </c>
      <c r="M920" s="0" t="s">
        <v>61</v>
      </c>
      <c r="N920" s="0" t="s">
        <v>787</v>
      </c>
      <c r="O920" s="0" t="s">
        <v>35</v>
      </c>
      <c r="P920" s="0" t="s">
        <v>39</v>
      </c>
      <c r="Q920" s="0" t="s">
        <v>3718</v>
      </c>
      <c r="R920" s="0" t="s">
        <v>3715</v>
      </c>
      <c r="S920" s="0" t="s">
        <v>787</v>
      </c>
      <c r="T920" s="0">
        <f>HYPERLINK("https://storage.sslt.ae/ItemVariation/08DCFA78-48D9-4959-84C5-FBC56E19F9ED/A725A13C-C2E0-44ED-943E-8C55509EC4E3.png","Variant Image")</f>
      </c>
      <c r="U920" s="0">
        <f>HYPERLINK("https://ec-qa-storage.kldlms.com/Item/08DCFA78-48D9-4959-84C5-FBC56E19F9ED/545ED6EB-6FE7-40FE-BAFB-17AE3616862F.jpg","Thumbnail Image")</f>
      </c>
      <c r="V920" s="0">
        <f>HYPERLINK("https://ec-qa-storage.kldlms.com/ItemGallery/08DCFA78-48D9-4959-84C5-FBC56E19F9ED/1BF00A89-6CBC-4749-A53E-669489562B21.jpg","Gallery Image ")</f>
      </c>
      <c r="W920" s="0" t="s">
        <v>22</v>
      </c>
    </row>
    <row r="921">
      <c r="P921" s="0" t="s">
        <v>527</v>
      </c>
      <c r="Q921" s="0" t="s">
        <v>3717</v>
      </c>
      <c r="R921" s="0" t="s">
        <v>3715</v>
      </c>
      <c r="S921" s="0" t="s">
        <v>32</v>
      </c>
      <c r="T921" s="0">
        <f>HYPERLINK("https://ec-qa-storage.kldlms.com/ItemVariation/08DCFA78-48D9-4959-84C5-FBC56E19F9ED/CDB3E6DE-7F17-4E85-ACC9-5F4BF2C11C44.jpg","Variant Image")</f>
      </c>
    </row>
    <row r="922">
      <c r="A922" s="0" t="s">
        <v>3719</v>
      </c>
      <c r="B922" s="0" t="s">
        <v>3719</v>
      </c>
      <c r="C922" s="0" t="s">
        <v>3720</v>
      </c>
      <c r="D922" s="0" t="s">
        <v>27</v>
      </c>
      <c r="E922" s="0" t="s">
        <v>3160</v>
      </c>
      <c r="F922" s="0" t="s">
        <v>3137</v>
      </c>
      <c r="G922" s="0" t="s">
        <v>3719</v>
      </c>
      <c r="H922" s="0" t="s">
        <v>3719</v>
      </c>
      <c r="I922" s="0" t="s">
        <v>3716</v>
      </c>
      <c r="J922" s="0" t="s">
        <v>3716</v>
      </c>
      <c r="K922" s="0" t="s">
        <v>3437</v>
      </c>
      <c r="L922" s="0" t="s">
        <v>32</v>
      </c>
      <c r="M922" s="0" t="s">
        <v>61</v>
      </c>
      <c r="N922" s="0" t="s">
        <v>3721</v>
      </c>
      <c r="O922" s="0" t="s">
        <v>35</v>
      </c>
      <c r="P922" s="0" t="s">
        <v>39</v>
      </c>
      <c r="Q922" s="0" t="s">
        <v>3438</v>
      </c>
      <c r="R922" s="0" t="s">
        <v>3720</v>
      </c>
      <c r="S922" s="0" t="s">
        <v>3721</v>
      </c>
      <c r="T922" s="0">
        <f>HYPERLINK("https://storage.sslt.ae/ItemVariation/08DCFA78-4935-455F-88A9-932291BA8D78/11FC8613-BC52-4468-B10E-54711FF4A303.png","Variant Image")</f>
      </c>
      <c r="U922" s="0">
        <f>HYPERLINK("https://ec-qa-storage.kldlms.com/Item/08DCFA78-4935-455F-88A9-932291BA8D78/5A27CA61-6B66-4518-89BA-DE464EBE0F3F.jpg","Thumbnail Image")</f>
      </c>
      <c r="V922" s="0">
        <f>HYPERLINK("https://ec-qa-storage.kldlms.com/ItemGallery/08DCFA78-4935-455F-88A9-932291BA8D78/34FB7235-4592-4336-B4CC-E8593F335890.jpg","Gallery Image ")</f>
      </c>
      <c r="W922" s="0" t="s">
        <v>22</v>
      </c>
    </row>
    <row r="923">
      <c r="P923" s="0" t="s">
        <v>527</v>
      </c>
      <c r="Q923" s="0" t="s">
        <v>3437</v>
      </c>
      <c r="R923" s="0" t="s">
        <v>3720</v>
      </c>
      <c r="S923" s="0" t="s">
        <v>32</v>
      </c>
      <c r="T923" s="0">
        <f>HYPERLINK("https://ec-qa-storage.kldlms.com/ItemVariation/08DCFA78-4935-455F-88A9-932291BA8D78/89998578-644A-46CB-B390-8BC35B56218C.jpg","Variant Image")</f>
      </c>
    </row>
    <row r="924">
      <c r="A924" s="0" t="s">
        <v>3722</v>
      </c>
      <c r="B924" s="0" t="s">
        <v>3722</v>
      </c>
      <c r="C924" s="0" t="s">
        <v>3723</v>
      </c>
      <c r="D924" s="0" t="s">
        <v>27</v>
      </c>
      <c r="E924" s="0" t="s">
        <v>3160</v>
      </c>
      <c r="F924" s="0" t="s">
        <v>3137</v>
      </c>
      <c r="G924" s="0" t="s">
        <v>3722</v>
      </c>
      <c r="H924" s="0" t="s">
        <v>3722</v>
      </c>
      <c r="I924" s="0" t="s">
        <v>3724</v>
      </c>
      <c r="J924" s="0" t="s">
        <v>3724</v>
      </c>
      <c r="K924" s="0" t="s">
        <v>3725</v>
      </c>
      <c r="L924" s="0" t="s">
        <v>32</v>
      </c>
      <c r="M924" s="0" t="s">
        <v>61</v>
      </c>
      <c r="N924" s="0" t="s">
        <v>110</v>
      </c>
      <c r="O924" s="0" t="s">
        <v>35</v>
      </c>
      <c r="P924" s="0" t="s">
        <v>39</v>
      </c>
      <c r="Q924" s="0" t="s">
        <v>3726</v>
      </c>
      <c r="R924" s="0" t="s">
        <v>3723</v>
      </c>
      <c r="S924" s="0" t="s">
        <v>110</v>
      </c>
      <c r="T924" s="0">
        <f>HYPERLINK("https://storage.sslt.ae/ItemVariation/08DCFA78-4991-4D14-88B4-E74CBC8CBD8D/396A1F46-30F0-4A3F-B9FF-A66AD54ADD8E.png","Variant Image")</f>
      </c>
      <c r="U924" s="0">
        <f>HYPERLINK("https://ec-qa-storage.kldlms.com/Item/08DCFA78-4991-4D14-88B4-E74CBC8CBD8D/99CC4996-6F49-4A20-988E-60CD0068A536.jpg","Thumbnail Image")</f>
      </c>
      <c r="V924" s="0">
        <f>HYPERLINK("https://ec-qa-storage.kldlms.com/ItemGallery/08DCFA78-4991-4D14-88B4-E74CBC8CBD8D/C5664227-8FEA-4614-AC43-BF51A8186201.jpg","Gallery Image ")</f>
      </c>
      <c r="W924" s="0" t="s">
        <v>22</v>
      </c>
    </row>
    <row r="925">
      <c r="P925" s="0" t="s">
        <v>527</v>
      </c>
      <c r="Q925" s="0" t="s">
        <v>3725</v>
      </c>
      <c r="R925" s="0" t="s">
        <v>3723</v>
      </c>
      <c r="S925" s="0" t="s">
        <v>32</v>
      </c>
      <c r="T925" s="0">
        <f>HYPERLINK("https://ec-qa-storage.kldlms.com/ItemVariation/08DCFA78-4991-4D14-88B4-E74CBC8CBD8D/BE31B61A-7B06-4B75-BDB0-2293CD5A8422.jpg","Variant Image")</f>
      </c>
    </row>
    <row r="926">
      <c r="A926" s="0" t="s">
        <v>3727</v>
      </c>
      <c r="B926" s="0" t="s">
        <v>3727</v>
      </c>
      <c r="C926" s="0" t="s">
        <v>3728</v>
      </c>
      <c r="D926" s="0" t="s">
        <v>27</v>
      </c>
      <c r="E926" s="0" t="s">
        <v>3155</v>
      </c>
      <c r="F926" s="0" t="s">
        <v>3137</v>
      </c>
      <c r="G926" s="0" t="s">
        <v>3727</v>
      </c>
      <c r="H926" s="0" t="s">
        <v>3727</v>
      </c>
      <c r="I926" s="0" t="s">
        <v>3729</v>
      </c>
      <c r="J926" s="0" t="s">
        <v>3729</v>
      </c>
      <c r="K926" s="0" t="s">
        <v>3730</v>
      </c>
      <c r="L926" s="0" t="s">
        <v>32</v>
      </c>
      <c r="M926" s="0" t="s">
        <v>61</v>
      </c>
      <c r="N926" s="0" t="s">
        <v>155</v>
      </c>
      <c r="O926" s="0" t="s">
        <v>35</v>
      </c>
      <c r="P926" s="0" t="s">
        <v>39</v>
      </c>
      <c r="Q926" s="0" t="s">
        <v>3731</v>
      </c>
      <c r="R926" s="0" t="s">
        <v>3728</v>
      </c>
      <c r="S926" s="0" t="s">
        <v>155</v>
      </c>
      <c r="T926" s="0">
        <f>HYPERLINK("https://storage.sslt.ae/ItemVariation/08DCFA78-4BBA-4CDD-854C-E309D6FA7AA0/8C6EAD0E-B847-4B3E-BF8B-F513FA4D173C.png","Variant Image")</f>
      </c>
      <c r="U926" s="0">
        <f>HYPERLINK("https://ec-qa-storage.kldlms.com/Item/08DCFA78-4BBA-4CDD-854C-E309D6FA7AA0/8E874E03-15CC-486D-AFC6-431F0A437CB3.jpg","Thumbnail Image")</f>
      </c>
      <c r="V926" s="0">
        <f>HYPERLINK("https://ec-qa-storage.kldlms.com/ItemGallery/08DCFA78-4BBA-4CDD-854C-E309D6FA7AA0/0DC95CBF-BF2A-434F-B41B-CFE048E6364C.jpg","Gallery Image ")</f>
      </c>
      <c r="W926" s="0" t="s">
        <v>22</v>
      </c>
    </row>
    <row r="927">
      <c r="P927" s="0" t="s">
        <v>527</v>
      </c>
      <c r="Q927" s="0" t="s">
        <v>3730</v>
      </c>
      <c r="R927" s="0" t="s">
        <v>3728</v>
      </c>
      <c r="S927" s="0" t="s">
        <v>32</v>
      </c>
      <c r="T927" s="0">
        <f>HYPERLINK("https://ec-qa-storage.kldlms.com/ItemVariation/08DCFA78-4BBA-4CDD-854C-E309D6FA7AA0/5D4073FA-27E5-4F2A-AE02-EAB135AB798E.jpg","Variant Image")</f>
      </c>
    </row>
    <row r="928">
      <c r="A928" s="0" t="s">
        <v>3732</v>
      </c>
      <c r="B928" s="0" t="s">
        <v>3732</v>
      </c>
      <c r="C928" s="0" t="s">
        <v>3733</v>
      </c>
      <c r="D928" s="0" t="s">
        <v>27</v>
      </c>
      <c r="E928" s="0" t="s">
        <v>3583</v>
      </c>
      <c r="F928" s="0" t="s">
        <v>557</v>
      </c>
      <c r="G928" s="0" t="s">
        <v>3732</v>
      </c>
      <c r="H928" s="0" t="s">
        <v>3732</v>
      </c>
      <c r="I928" s="0" t="s">
        <v>615</v>
      </c>
      <c r="J928" s="0" t="s">
        <v>615</v>
      </c>
      <c r="K928" s="0" t="s">
        <v>90</v>
      </c>
      <c r="L928" s="0" t="s">
        <v>32</v>
      </c>
      <c r="M928" s="0" t="s">
        <v>33</v>
      </c>
      <c r="N928" s="0" t="s">
        <v>1025</v>
      </c>
      <c r="O928" s="0" t="s">
        <v>35</v>
      </c>
      <c r="P928" s="0" t="s">
        <v>39</v>
      </c>
      <c r="Q928" s="0" t="s">
        <v>91</v>
      </c>
      <c r="R928" s="0" t="s">
        <v>3733</v>
      </c>
      <c r="S928" s="0" t="s">
        <v>1025</v>
      </c>
      <c r="T928" s="0">
        <f>HYPERLINK("https://storage.sslt.ae/ItemVariation/08DCFA78-4C16-468F-8181-5E9D73C34733/A0D02B10-890A-440D-A604-F6F4B7CB77B7.png","Variant Image")</f>
      </c>
      <c r="U928" s="0">
        <f>HYPERLINK("https://ec-qa-storage.kldlms.com/Item/08DCFA78-4C16-468F-8181-5E9D73C34733/31D4965A-941D-4587-AB35-6317164E4436.png","Thumbnail Image")</f>
      </c>
      <c r="V928" s="0">
        <f>HYPERLINK("https://ec-qa-storage.kldlms.com/ItemGallery/08DCFA78-4C16-468F-8181-5E9D73C34733/E58267C7-8C18-4A2F-B1B4-A48B3D98211E.png","Gallery Image ")</f>
      </c>
      <c r="W928" s="0" t="s">
        <v>22</v>
      </c>
      <c r="X928" s="0" t="s">
        <v>3734</v>
      </c>
    </row>
    <row r="929">
      <c r="A929" s="0" t="s">
        <v>3735</v>
      </c>
      <c r="B929" s="0" t="s">
        <v>3735</v>
      </c>
      <c r="C929" s="0" t="s">
        <v>3736</v>
      </c>
      <c r="D929" s="0" t="s">
        <v>27</v>
      </c>
      <c r="E929" s="0" t="s">
        <v>3583</v>
      </c>
      <c r="F929" s="0" t="s">
        <v>557</v>
      </c>
      <c r="G929" s="0" t="s">
        <v>3735</v>
      </c>
      <c r="H929" s="0" t="s">
        <v>3735</v>
      </c>
      <c r="I929" s="0" t="s">
        <v>615</v>
      </c>
      <c r="J929" s="0" t="s">
        <v>615</v>
      </c>
      <c r="K929" s="0" t="s">
        <v>3737</v>
      </c>
      <c r="L929" s="0" t="s">
        <v>32</v>
      </c>
      <c r="M929" s="0" t="s">
        <v>33</v>
      </c>
      <c r="N929" s="0" t="s">
        <v>164</v>
      </c>
      <c r="O929" s="0" t="s">
        <v>35</v>
      </c>
      <c r="P929" s="0" t="s">
        <v>39</v>
      </c>
      <c r="Q929" s="0" t="s">
        <v>3738</v>
      </c>
      <c r="R929" s="0" t="s">
        <v>3736</v>
      </c>
      <c r="S929" s="0" t="s">
        <v>164</v>
      </c>
      <c r="T929" s="0">
        <f>HYPERLINK("https://storage.sslt.ae/ItemVariation/08DCFA78-4C74-410C-86EC-C497B2A0D61F/F33FD4E8-5C9B-4F5A-841B-7167355A4479.png","Variant Image")</f>
      </c>
      <c r="U929" s="0">
        <f>HYPERLINK("https://ec-qa-storage.kldlms.com/Item/08DCFA78-4C74-410C-86EC-C497B2A0D61F/2942D2C6-E83F-4E31-B11B-7EB37510D59F.png","Thumbnail Image")</f>
      </c>
      <c r="V929" s="0">
        <f>HYPERLINK("https://ec-qa-storage.kldlms.com/ItemGallery/08DCFA78-4C74-410C-86EC-C497B2A0D61F/C967A93F-722D-4D28-980D-B9516331DE43.png","Gallery Image ")</f>
      </c>
      <c r="W929" s="0" t="s">
        <v>22</v>
      </c>
      <c r="X929" s="0" t="s">
        <v>3739</v>
      </c>
    </row>
    <row r="930">
      <c r="A930" s="0" t="s">
        <v>3740</v>
      </c>
      <c r="B930" s="0" t="s">
        <v>3740</v>
      </c>
      <c r="C930" s="0" t="s">
        <v>3741</v>
      </c>
      <c r="D930" s="0" t="s">
        <v>27</v>
      </c>
      <c r="E930" s="0" t="s">
        <v>3583</v>
      </c>
      <c r="F930" s="0" t="s">
        <v>557</v>
      </c>
      <c r="G930" s="0" t="s">
        <v>3740</v>
      </c>
      <c r="H930" s="0" t="s">
        <v>3740</v>
      </c>
      <c r="I930" s="0" t="s">
        <v>615</v>
      </c>
      <c r="J930" s="0" t="s">
        <v>615</v>
      </c>
      <c r="K930" s="0" t="s">
        <v>90</v>
      </c>
      <c r="L930" s="0" t="s">
        <v>32</v>
      </c>
      <c r="M930" s="0" t="s">
        <v>33</v>
      </c>
      <c r="N930" s="0" t="s">
        <v>404</v>
      </c>
      <c r="O930" s="0" t="s">
        <v>35</v>
      </c>
      <c r="P930" s="0" t="s">
        <v>39</v>
      </c>
      <c r="Q930" s="0" t="s">
        <v>91</v>
      </c>
      <c r="R930" s="0" t="s">
        <v>3741</v>
      </c>
      <c r="S930" s="0" t="s">
        <v>404</v>
      </c>
      <c r="T930" s="0">
        <f>HYPERLINK("https://storage.sslt.ae/ItemVariation/08DCFA78-4CD0-4A5F-8925-081F4DA6C48C/F75EEB0B-88B1-4FA0-991D-48D5CF5B047B.png","Variant Image")</f>
      </c>
      <c r="U930" s="0">
        <f>HYPERLINK("https://ec-qa-storage.kldlms.com/Item/08DCFA78-4CD0-4A5F-8925-081F4DA6C48C/9C564C44-53A2-4B3A-A954-28AE33FC6B1C.png","Thumbnail Image")</f>
      </c>
      <c r="V930" s="0">
        <f>HYPERLINK("https://ec-qa-storage.kldlms.com/ItemGallery/08DCFA78-4CD0-4A5F-8925-081F4DA6C48C/E85B9583-ED09-4934-B581-2D0EC12D8B2F.png","Gallery Image ")</f>
      </c>
      <c r="W930" s="0" t="s">
        <v>22</v>
      </c>
      <c r="X930" s="0" t="s">
        <v>3742</v>
      </c>
    </row>
    <row r="931">
      <c r="A931" s="0" t="s">
        <v>3743</v>
      </c>
      <c r="B931" s="0" t="s">
        <v>3743</v>
      </c>
      <c r="C931" s="0" t="s">
        <v>3744</v>
      </c>
      <c r="D931" s="0" t="s">
        <v>27</v>
      </c>
      <c r="E931" s="0" t="s">
        <v>3583</v>
      </c>
      <c r="F931" s="0" t="s">
        <v>557</v>
      </c>
      <c r="G931" s="0" t="s">
        <v>3743</v>
      </c>
      <c r="H931" s="0" t="s">
        <v>3743</v>
      </c>
      <c r="I931" s="0" t="s">
        <v>615</v>
      </c>
      <c r="J931" s="0" t="s">
        <v>615</v>
      </c>
      <c r="K931" s="0" t="s">
        <v>3745</v>
      </c>
      <c r="L931" s="0" t="s">
        <v>32</v>
      </c>
      <c r="M931" s="0" t="s">
        <v>33</v>
      </c>
      <c r="N931" s="0" t="s">
        <v>164</v>
      </c>
      <c r="O931" s="0" t="s">
        <v>35</v>
      </c>
      <c r="P931" s="0" t="s">
        <v>39</v>
      </c>
      <c r="Q931" s="0" t="s">
        <v>3746</v>
      </c>
      <c r="R931" s="0" t="s">
        <v>3744</v>
      </c>
      <c r="S931" s="0" t="s">
        <v>164</v>
      </c>
      <c r="T931" s="0">
        <f>HYPERLINK("https://storage.sslt.ae/ItemVariation/08DCFA78-4D2A-4F9D-8698-EC81FB8EA2FD/59A35EBD-E56C-4B77-B7E7-088D117EA55D.png","Variant Image")</f>
      </c>
      <c r="U931" s="0">
        <f>HYPERLINK("https://ec-qa-storage.kldlms.com/Item/08DCFA78-4D2A-4F9D-8698-EC81FB8EA2FD/3F880335-90DF-4444-AD3A-0D3F07D39659.png","Thumbnail Image")</f>
      </c>
      <c r="V931" s="0">
        <f>HYPERLINK("https://ec-qa-storage.kldlms.com/ItemGallery/08DCFA78-4D2A-4F9D-8698-EC81FB8EA2FD/FCD51CC5-265D-4F3E-AFB8-4728B8BDB2DA.png","Gallery Image ")</f>
      </c>
      <c r="W931" s="0" t="s">
        <v>22</v>
      </c>
      <c r="X931" s="0" t="s">
        <v>3747</v>
      </c>
    </row>
    <row r="932">
      <c r="A932" s="0" t="s">
        <v>3748</v>
      </c>
      <c r="B932" s="0" t="s">
        <v>3748</v>
      </c>
      <c r="C932" s="0" t="s">
        <v>3749</v>
      </c>
      <c r="D932" s="0" t="s">
        <v>27</v>
      </c>
      <c r="E932" s="0" t="s">
        <v>3583</v>
      </c>
      <c r="F932" s="0" t="s">
        <v>557</v>
      </c>
      <c r="G932" s="0" t="s">
        <v>3748</v>
      </c>
      <c r="H932" s="0" t="s">
        <v>3748</v>
      </c>
      <c r="I932" s="0" t="s">
        <v>615</v>
      </c>
      <c r="J932" s="0" t="s">
        <v>615</v>
      </c>
      <c r="K932" s="0" t="s">
        <v>3750</v>
      </c>
      <c r="L932" s="0" t="s">
        <v>32</v>
      </c>
      <c r="M932" s="0" t="s">
        <v>33</v>
      </c>
      <c r="N932" s="0" t="s">
        <v>35</v>
      </c>
      <c r="O932" s="0" t="s">
        <v>35</v>
      </c>
      <c r="P932" s="0" t="s">
        <v>39</v>
      </c>
      <c r="Q932" s="0" t="s">
        <v>3751</v>
      </c>
      <c r="R932" s="0" t="s">
        <v>3749</v>
      </c>
      <c r="S932" s="0" t="s">
        <v>35</v>
      </c>
      <c r="T932" s="0">
        <f>HYPERLINK("https://storage.sslt.ae/ItemVariation/08DCFA78-4D87-4551-83D8-D2E9109C1B0F/FC1D446F-D66F-4197-9A6C-D895E9A1A062.png","Variant Image")</f>
      </c>
      <c r="U932" s="0">
        <f>HYPERLINK("https://ec-qa-storage.kldlms.com/Item/08DCFA78-4D87-4551-83D8-D2E9109C1B0F/9B2B2FF3-53B9-4AC1-90C0-316DD41B0814.png","Thumbnail Image")</f>
      </c>
      <c r="V932" s="0">
        <f>HYPERLINK("https://ec-qa-storage.kldlms.com/ItemGallery/08DCFA78-4D87-4551-83D8-D2E9109C1B0F/841B0727-0473-40A1-A727-AE49FE89ADA0.png","Gallery Image ")</f>
      </c>
      <c r="W932" s="0" t="s">
        <v>22</v>
      </c>
      <c r="X932" s="0" t="s">
        <v>3752</v>
      </c>
    </row>
    <row r="933">
      <c r="A933" s="0" t="s">
        <v>3753</v>
      </c>
      <c r="B933" s="0" t="s">
        <v>3753</v>
      </c>
      <c r="C933" s="0" t="s">
        <v>3754</v>
      </c>
      <c r="D933" s="0" t="s">
        <v>27</v>
      </c>
      <c r="E933" s="0" t="s">
        <v>3583</v>
      </c>
      <c r="F933" s="0" t="s">
        <v>557</v>
      </c>
      <c r="G933" s="0" t="s">
        <v>3753</v>
      </c>
      <c r="H933" s="0" t="s">
        <v>3753</v>
      </c>
      <c r="I933" s="0" t="s">
        <v>615</v>
      </c>
      <c r="J933" s="0" t="s">
        <v>615</v>
      </c>
      <c r="K933" s="0" t="s">
        <v>287</v>
      </c>
      <c r="L933" s="0" t="s">
        <v>32</v>
      </c>
      <c r="M933" s="0" t="s">
        <v>33</v>
      </c>
      <c r="N933" s="0" t="s">
        <v>2192</v>
      </c>
      <c r="O933" s="0" t="s">
        <v>35</v>
      </c>
      <c r="P933" s="0" t="s">
        <v>39</v>
      </c>
      <c r="Q933" s="0" t="s">
        <v>3755</v>
      </c>
      <c r="R933" s="0" t="s">
        <v>3754</v>
      </c>
      <c r="S933" s="0" t="s">
        <v>2192</v>
      </c>
      <c r="T933" s="0">
        <f>HYPERLINK("https://storage.sslt.ae/ItemVariation/08DCFA78-4DE4-450C-8B41-1AFC03742000/CBFBD818-9CB7-4A34-9021-8E0840955B98.png","Variant Image")</f>
      </c>
      <c r="U933" s="0">
        <f>HYPERLINK("https://ec-qa-storage.kldlms.com/Item/08DCFA78-4DE4-450C-8B41-1AFC03742000/4A3B0FFC-194C-4368-BC9E-D91559672B2E.png","Thumbnail Image")</f>
      </c>
      <c r="V933" s="0">
        <f>HYPERLINK("https://ec-qa-storage.kldlms.com/ItemGallery/08DCFA78-4DE4-450C-8B41-1AFC03742000/D37F7F5D-A6E8-472C-8284-08BC8DB542C9.png","Gallery Image ")</f>
      </c>
      <c r="W933" s="0" t="s">
        <v>22</v>
      </c>
      <c r="X933" s="0" t="s">
        <v>3756</v>
      </c>
    </row>
    <row r="934">
      <c r="A934" s="0" t="s">
        <v>3757</v>
      </c>
      <c r="B934" s="0" t="s">
        <v>3757</v>
      </c>
      <c r="C934" s="0" t="s">
        <v>3758</v>
      </c>
      <c r="D934" s="0" t="s">
        <v>27</v>
      </c>
      <c r="E934" s="0" t="s">
        <v>3583</v>
      </c>
      <c r="F934" s="0" t="s">
        <v>557</v>
      </c>
      <c r="G934" s="0" t="s">
        <v>3757</v>
      </c>
      <c r="H934" s="0" t="s">
        <v>3757</v>
      </c>
      <c r="I934" s="0" t="s">
        <v>615</v>
      </c>
      <c r="J934" s="0" t="s">
        <v>615</v>
      </c>
      <c r="K934" s="0" t="s">
        <v>3759</v>
      </c>
      <c r="L934" s="0" t="s">
        <v>32</v>
      </c>
      <c r="M934" s="0" t="s">
        <v>33</v>
      </c>
      <c r="N934" s="0" t="s">
        <v>110</v>
      </c>
      <c r="O934" s="0" t="s">
        <v>35</v>
      </c>
      <c r="P934" s="0" t="s">
        <v>39</v>
      </c>
      <c r="Q934" s="0" t="s">
        <v>3760</v>
      </c>
      <c r="R934" s="0" t="s">
        <v>3758</v>
      </c>
      <c r="S934" s="0" t="s">
        <v>110</v>
      </c>
      <c r="T934" s="0">
        <f>HYPERLINK("https://storage.sslt.ae/ItemVariation/08DCFA78-4E40-44A1-8989-9089142C128E/A4C37306-23CC-4CB6-98FC-F7DCFEF85050.png","Variant Image")</f>
      </c>
      <c r="U934" s="0">
        <f>HYPERLINK("https://ec-qa-storage.kldlms.com/Item/08DCFA78-4E40-44A1-8989-9089142C128E/B52F727C-6F80-407E-BCB8-DFCD6C3DD3D6.png","Thumbnail Image")</f>
      </c>
      <c r="V934" s="0">
        <f>HYPERLINK("https://ec-qa-storage.kldlms.com/ItemGallery/08DCFA78-4E40-44A1-8989-9089142C128E/DF62F6E0-05A8-4FC0-B1A2-2AA2FB4F629A.png","Gallery Image ")</f>
      </c>
      <c r="W934" s="0" t="s">
        <v>22</v>
      </c>
      <c r="X934" s="0" t="s">
        <v>3761</v>
      </c>
    </row>
    <row r="935">
      <c r="A935" s="0" t="s">
        <v>3762</v>
      </c>
      <c r="B935" s="0" t="s">
        <v>3762</v>
      </c>
      <c r="C935" s="0" t="s">
        <v>1186</v>
      </c>
      <c r="D935" s="0" t="s">
        <v>27</v>
      </c>
      <c r="E935" s="0" t="s">
        <v>3583</v>
      </c>
      <c r="F935" s="0" t="s">
        <v>557</v>
      </c>
      <c r="G935" s="0" t="s">
        <v>3762</v>
      </c>
      <c r="H935" s="0" t="s">
        <v>3762</v>
      </c>
      <c r="I935" s="0" t="s">
        <v>615</v>
      </c>
      <c r="J935" s="0" t="s">
        <v>615</v>
      </c>
      <c r="K935" s="0" t="s">
        <v>1921</v>
      </c>
      <c r="L935" s="0" t="s">
        <v>32</v>
      </c>
      <c r="M935" s="0" t="s">
        <v>33</v>
      </c>
      <c r="N935" s="0" t="s">
        <v>35</v>
      </c>
      <c r="O935" s="0" t="s">
        <v>35</v>
      </c>
      <c r="P935" s="0" t="s">
        <v>39</v>
      </c>
      <c r="Q935" s="0" t="s">
        <v>1922</v>
      </c>
      <c r="R935" s="0" t="s">
        <v>1186</v>
      </c>
      <c r="S935" s="0" t="s">
        <v>35</v>
      </c>
      <c r="T935" s="0">
        <f>HYPERLINK("https://storage.sslt.ae/ItemVariation/08DCFA78-6F45-48B8-8E4E-932DC6BC941C/AE80D249-DF0D-42B3-B4D8-AE84AF0597EF.png","Variant Image")</f>
      </c>
      <c r="U935" s="0">
        <f>HYPERLINK("https://ec-qa-storage.kldlms.com/Item/08DCFA78-6F45-48B8-8E4E-932DC6BC941C/956513F7-8BCC-4034-A189-EE5818E3D94A.png","Thumbnail Image")</f>
      </c>
      <c r="V935" s="0">
        <f>HYPERLINK("https://ec-qa-storage.kldlms.com/ItemGallery/08DCFA78-6F45-48B8-8E4E-932DC6BC941C/294F6BF3-827C-49C5-86A4-F5B8081661A4.png","Gallery Image ")</f>
      </c>
      <c r="W935" s="0" t="s">
        <v>22</v>
      </c>
      <c r="X935" s="0" t="s">
        <v>1188</v>
      </c>
    </row>
    <row r="936">
      <c r="A936" s="0" t="s">
        <v>3763</v>
      </c>
      <c r="B936" s="0" t="s">
        <v>3763</v>
      </c>
      <c r="C936" s="0" t="s">
        <v>3764</v>
      </c>
      <c r="D936" s="0" t="s">
        <v>27</v>
      </c>
      <c r="E936" s="0" t="s">
        <v>3765</v>
      </c>
      <c r="F936" s="0" t="s">
        <v>557</v>
      </c>
      <c r="G936" s="0" t="s">
        <v>3763</v>
      </c>
      <c r="H936" s="0" t="s">
        <v>3763</v>
      </c>
      <c r="I936" s="0" t="s">
        <v>615</v>
      </c>
      <c r="J936" s="0" t="s">
        <v>615</v>
      </c>
      <c r="K936" s="0" t="s">
        <v>3766</v>
      </c>
      <c r="L936" s="0" t="s">
        <v>32</v>
      </c>
      <c r="M936" s="0" t="s">
        <v>33</v>
      </c>
      <c r="N936" s="0" t="s">
        <v>202</v>
      </c>
      <c r="O936" s="0" t="s">
        <v>35</v>
      </c>
      <c r="P936" s="0" t="s">
        <v>39</v>
      </c>
      <c r="Q936" s="0" t="s">
        <v>3767</v>
      </c>
      <c r="R936" s="0" t="s">
        <v>3764</v>
      </c>
      <c r="S936" s="0" t="s">
        <v>202</v>
      </c>
      <c r="T936" s="0">
        <f>HYPERLINK("https://storage.sslt.ae/ItemVariation/08DCFA78-6FE2-4970-8011-1FFBBDBCAD52/EC87CFE3-3FCF-4537-A7E3-EC0965029459.png","Variant Image")</f>
      </c>
      <c r="U936" s="0">
        <f>HYPERLINK("https://ec-qa-storage.kldlms.com/Item/08DCFA78-6FE2-4970-8011-1FFBBDBCAD52/A13F9654-E842-4B38-8CD0-FDCCBAF3CAC5.png","Thumbnail Image")</f>
      </c>
      <c r="V936" s="0">
        <f>HYPERLINK("https://ec-qa-storage.kldlms.com/ItemGallery/08DCFA78-6FE2-4970-8011-1FFBBDBCAD52/599283BB-301A-4B39-90DA-72A611936B90.png","Gallery Image ")</f>
      </c>
      <c r="W936" s="0" t="s">
        <v>22</v>
      </c>
      <c r="X936" s="0" t="s">
        <v>3768</v>
      </c>
    </row>
    <row r="937">
      <c r="A937" s="0" t="s">
        <v>3769</v>
      </c>
      <c r="B937" s="0" t="s">
        <v>3769</v>
      </c>
      <c r="C937" s="0" t="s">
        <v>3770</v>
      </c>
      <c r="D937" s="0" t="s">
        <v>27</v>
      </c>
      <c r="E937" s="0" t="s">
        <v>3765</v>
      </c>
      <c r="F937" s="0" t="s">
        <v>557</v>
      </c>
      <c r="G937" s="0" t="s">
        <v>3769</v>
      </c>
      <c r="H937" s="0" t="s">
        <v>3769</v>
      </c>
      <c r="I937" s="0" t="s">
        <v>615</v>
      </c>
      <c r="J937" s="0" t="s">
        <v>615</v>
      </c>
      <c r="K937" s="0" t="s">
        <v>3766</v>
      </c>
      <c r="L937" s="0" t="s">
        <v>32</v>
      </c>
      <c r="M937" s="0" t="s">
        <v>33</v>
      </c>
      <c r="N937" s="0" t="s">
        <v>302</v>
      </c>
      <c r="O937" s="0" t="s">
        <v>35</v>
      </c>
      <c r="P937" s="0" t="s">
        <v>39</v>
      </c>
      <c r="Q937" s="0" t="s">
        <v>3767</v>
      </c>
      <c r="R937" s="0" t="s">
        <v>3770</v>
      </c>
      <c r="S937" s="0" t="s">
        <v>302</v>
      </c>
      <c r="T937" s="0">
        <f>HYPERLINK("https://storage.sslt.ae/ItemVariation/08DCFA78-703C-48E4-81FF-1835975235A0/7B1BD643-B1E7-4F7F-9935-F5F0254C2469.png","Variant Image")</f>
      </c>
      <c r="U937" s="0">
        <f>HYPERLINK("https://ec-qa-storage.kldlms.com/Item/08DCFA78-703C-48E4-81FF-1835975235A0/F0CDC320-908F-483D-80EB-DDCE998B4E10.png","Thumbnail Image")</f>
      </c>
      <c r="V937" s="0">
        <f>HYPERLINK("https://ec-qa-storage.kldlms.com/ItemGallery/08DCFA78-703C-48E4-81FF-1835975235A0/B6854295-4C8E-48F7-A07E-2342280D707B.png","Gallery Image ")</f>
      </c>
      <c r="W937" s="0" t="s">
        <v>22</v>
      </c>
      <c r="X937" s="0" t="s">
        <v>3771</v>
      </c>
    </row>
    <row r="938">
      <c r="A938" s="0" t="s">
        <v>3772</v>
      </c>
      <c r="B938" s="0" t="s">
        <v>3772</v>
      </c>
      <c r="C938" s="0" t="s">
        <v>3773</v>
      </c>
      <c r="D938" s="0" t="s">
        <v>27</v>
      </c>
      <c r="E938" s="0" t="s">
        <v>3765</v>
      </c>
      <c r="F938" s="0" t="s">
        <v>557</v>
      </c>
      <c r="G938" s="0" t="s">
        <v>3772</v>
      </c>
      <c r="H938" s="0" t="s">
        <v>3772</v>
      </c>
      <c r="I938" s="0" t="s">
        <v>615</v>
      </c>
      <c r="J938" s="0" t="s">
        <v>615</v>
      </c>
      <c r="K938" s="0" t="s">
        <v>3774</v>
      </c>
      <c r="L938" s="0" t="s">
        <v>32</v>
      </c>
      <c r="M938" s="0" t="s">
        <v>33</v>
      </c>
      <c r="N938" s="0" t="s">
        <v>202</v>
      </c>
      <c r="O938" s="0" t="s">
        <v>35</v>
      </c>
      <c r="P938" s="0" t="s">
        <v>39</v>
      </c>
      <c r="Q938" s="0" t="s">
        <v>3775</v>
      </c>
      <c r="R938" s="0" t="s">
        <v>3773</v>
      </c>
      <c r="S938" s="0" t="s">
        <v>202</v>
      </c>
      <c r="T938" s="0">
        <f>HYPERLINK("https://storage.sslt.ae/ItemVariation/08DCFA78-7098-457C-81F7-7E02F07233C6/C3F33BD3-E4D4-4B0B-ACE7-413C3372407E.png","Variant Image")</f>
      </c>
      <c r="U938" s="0">
        <f>HYPERLINK("https://ec-qa-storage.kldlms.com/Item/08DCFA78-7098-457C-81F7-7E02F07233C6/13F37298-CA57-45C1-BE66-2B782E966EEE.png","Thumbnail Image")</f>
      </c>
      <c r="V938" s="0">
        <f>HYPERLINK("https://ec-qa-storage.kldlms.com/ItemGallery/08DCFA78-7098-457C-81F7-7E02F07233C6/6F0596CE-5245-4F81-9790-9200A0D3DBF2.png","Gallery Image ")</f>
      </c>
      <c r="W938" s="0" t="s">
        <v>22</v>
      </c>
      <c r="X938" s="0" t="s">
        <v>3776</v>
      </c>
    </row>
    <row r="939">
      <c r="A939" s="0" t="s">
        <v>3777</v>
      </c>
      <c r="B939" s="0" t="s">
        <v>3777</v>
      </c>
      <c r="C939" s="0" t="s">
        <v>3778</v>
      </c>
      <c r="D939" s="0" t="s">
        <v>27</v>
      </c>
      <c r="E939" s="0" t="s">
        <v>3765</v>
      </c>
      <c r="F939" s="0" t="s">
        <v>557</v>
      </c>
      <c r="G939" s="0" t="s">
        <v>3777</v>
      </c>
      <c r="H939" s="0" t="s">
        <v>3777</v>
      </c>
      <c r="I939" s="0" t="s">
        <v>615</v>
      </c>
      <c r="J939" s="0" t="s">
        <v>615</v>
      </c>
      <c r="K939" s="0" t="s">
        <v>591</v>
      </c>
      <c r="L939" s="0" t="s">
        <v>32</v>
      </c>
      <c r="M939" s="0" t="s">
        <v>33</v>
      </c>
      <c r="N939" s="0" t="s">
        <v>202</v>
      </c>
      <c r="O939" s="0" t="s">
        <v>35</v>
      </c>
      <c r="P939" s="0" t="s">
        <v>39</v>
      </c>
      <c r="Q939" s="0" t="s">
        <v>3394</v>
      </c>
      <c r="R939" s="0" t="s">
        <v>3778</v>
      </c>
      <c r="S939" s="0" t="s">
        <v>202</v>
      </c>
      <c r="T939" s="0">
        <f>HYPERLINK("https://storage.sslt.ae/ItemVariation/08DCFA78-70F4-4648-860D-3CC9320CE026/81E3EE3D-F62C-4C2C-8292-83F055C2FB5A.png","Variant Image")</f>
      </c>
      <c r="U939" s="0">
        <f>HYPERLINK("https://ec-qa-storage.kldlms.com/Item/08DCFA78-70F4-4648-860D-3CC9320CE026/30ACE655-A45F-4884-98B1-50AF3848D29E.png","Thumbnail Image")</f>
      </c>
      <c r="V939" s="0">
        <f>HYPERLINK("https://ec-qa-storage.kldlms.com/ItemGallery/08DCFA78-70F4-4648-860D-3CC9320CE026/8FB31411-4F08-4483-B307-B4D9946B3F6F.png","Gallery Image ")</f>
      </c>
      <c r="W939" s="0" t="s">
        <v>22</v>
      </c>
      <c r="X939" s="0" t="s">
        <v>3779</v>
      </c>
    </row>
    <row r="940">
      <c r="A940" s="0" t="s">
        <v>3780</v>
      </c>
      <c r="B940" s="0" t="s">
        <v>3780</v>
      </c>
      <c r="C940" s="0" t="s">
        <v>3781</v>
      </c>
      <c r="D940" s="0" t="s">
        <v>27</v>
      </c>
      <c r="E940" s="0" t="s">
        <v>3583</v>
      </c>
      <c r="F940" s="0" t="s">
        <v>557</v>
      </c>
      <c r="G940" s="0" t="s">
        <v>3780</v>
      </c>
      <c r="H940" s="0" t="s">
        <v>3780</v>
      </c>
      <c r="I940" s="0" t="s">
        <v>615</v>
      </c>
      <c r="J940" s="0" t="s">
        <v>615</v>
      </c>
      <c r="K940" s="0" t="s">
        <v>3782</v>
      </c>
      <c r="L940" s="0" t="s">
        <v>32</v>
      </c>
      <c r="M940" s="0" t="s">
        <v>33</v>
      </c>
      <c r="N940" s="0" t="s">
        <v>202</v>
      </c>
      <c r="O940" s="0" t="s">
        <v>35</v>
      </c>
      <c r="P940" s="0" t="s">
        <v>39</v>
      </c>
      <c r="Q940" s="0" t="s">
        <v>3783</v>
      </c>
      <c r="R940" s="0" t="s">
        <v>3781</v>
      </c>
      <c r="S940" s="0" t="s">
        <v>202</v>
      </c>
      <c r="T940" s="0">
        <f>HYPERLINK("https://storage.sslt.ae/ItemVariation/08DCFA78-7150-442F-8ADC-C626E8624488/6AEDE183-EC0F-4329-B508-DD00A5B976B8.png","Variant Image")</f>
      </c>
      <c r="U940" s="0">
        <f>HYPERLINK("https://ec-qa-storage.kldlms.com/Item/08DCFA78-7150-442F-8ADC-C626E8624488/4B21D94B-8E67-4BB9-AE95-67388C8F2A91.png","Thumbnail Image")</f>
      </c>
      <c r="V940" s="0">
        <f>HYPERLINK("https://ec-qa-storage.kldlms.com/ItemGallery/08DCFA78-7150-442F-8ADC-C626E8624488/D67D6878-85CF-4472-9E1A-2A6AA692A1DE.png","Gallery Image ")</f>
      </c>
      <c r="W940" s="0" t="s">
        <v>22</v>
      </c>
      <c r="X940" s="0" t="s">
        <v>3784</v>
      </c>
    </row>
    <row r="941">
      <c r="A941" s="0" t="s">
        <v>3785</v>
      </c>
      <c r="B941" s="0" t="s">
        <v>3785</v>
      </c>
      <c r="C941" s="0" t="s">
        <v>3786</v>
      </c>
      <c r="D941" s="0" t="s">
        <v>27</v>
      </c>
      <c r="E941" s="0" t="s">
        <v>3583</v>
      </c>
      <c r="F941" s="0" t="s">
        <v>557</v>
      </c>
      <c r="G941" s="0" t="s">
        <v>3785</v>
      </c>
      <c r="H941" s="0" t="s">
        <v>3785</v>
      </c>
      <c r="I941" s="0" t="s">
        <v>615</v>
      </c>
      <c r="J941" s="0" t="s">
        <v>615</v>
      </c>
      <c r="K941" s="0" t="s">
        <v>3787</v>
      </c>
      <c r="L941" s="0" t="s">
        <v>32</v>
      </c>
      <c r="M941" s="0" t="s">
        <v>33</v>
      </c>
      <c r="N941" s="0" t="s">
        <v>3788</v>
      </c>
      <c r="O941" s="0" t="s">
        <v>35</v>
      </c>
      <c r="P941" s="0" t="s">
        <v>39</v>
      </c>
      <c r="Q941" s="0" t="s">
        <v>3789</v>
      </c>
      <c r="R941" s="0" t="s">
        <v>3786</v>
      </c>
      <c r="S941" s="0" t="s">
        <v>3788</v>
      </c>
      <c r="T941" s="0">
        <f>HYPERLINK("https://storage.sslt.ae/ItemVariation/08DCFA78-71AC-414B-8F51-757B3CCFA90F/13690B78-20D9-4398-B303-4D2CF22A0259.png","Variant Image")</f>
      </c>
      <c r="U941" s="0">
        <f>HYPERLINK("https://ec-qa-storage.kldlms.com/Item/08DCFA78-71AC-414B-8F51-757B3CCFA90F/AF08083F-D864-4855-BE87-9909BAF16271.png","Thumbnail Image")</f>
      </c>
      <c r="V941" s="0">
        <f>HYPERLINK("https://ec-qa-storage.kldlms.com/ItemGallery/08DCFA78-71AC-414B-8F51-757B3CCFA90F/A4B1A7ED-B843-43A5-BB5E-D58E0A67721E.png","Gallery Image ")</f>
      </c>
      <c r="W941" s="0" t="s">
        <v>22</v>
      </c>
      <c r="X941" s="0" t="s">
        <v>3790</v>
      </c>
    </row>
    <row r="942">
      <c r="A942" s="0" t="s">
        <v>3791</v>
      </c>
      <c r="B942" s="0" t="s">
        <v>3791</v>
      </c>
      <c r="C942" s="0" t="s">
        <v>3792</v>
      </c>
      <c r="D942" s="0" t="s">
        <v>27</v>
      </c>
      <c r="E942" s="0" t="s">
        <v>3583</v>
      </c>
      <c r="F942" s="0" t="s">
        <v>557</v>
      </c>
      <c r="G942" s="0" t="s">
        <v>3791</v>
      </c>
      <c r="H942" s="0" t="s">
        <v>3791</v>
      </c>
      <c r="I942" s="0" t="s">
        <v>615</v>
      </c>
      <c r="J942" s="0" t="s">
        <v>615</v>
      </c>
      <c r="K942" s="0" t="s">
        <v>646</v>
      </c>
      <c r="L942" s="0" t="s">
        <v>32</v>
      </c>
      <c r="M942" s="0" t="s">
        <v>33</v>
      </c>
      <c r="N942" s="0" t="s">
        <v>254</v>
      </c>
      <c r="O942" s="0" t="s">
        <v>35</v>
      </c>
      <c r="P942" s="0" t="s">
        <v>39</v>
      </c>
      <c r="Q942" s="0" t="s">
        <v>3793</v>
      </c>
      <c r="R942" s="0" t="s">
        <v>3792</v>
      </c>
      <c r="S942" s="0" t="s">
        <v>254</v>
      </c>
      <c r="T942" s="0">
        <f>HYPERLINK("https://storage.sslt.ae/ItemVariation/08DCFA78-7207-4878-88E4-0CCD86FB5021/6B80E3E4-1A67-448D-A76A-AE1D93421234.png","Variant Image")</f>
      </c>
      <c r="U942" s="0">
        <f>HYPERLINK("https://ec-qa-storage.kldlms.com/Item/08DCFA78-7207-4878-88E4-0CCD86FB5021/14A9A0F8-017A-436E-A1E8-38286241E823.png","Thumbnail Image")</f>
      </c>
      <c r="V942" s="0">
        <f>HYPERLINK("https://ec-qa-storage.kldlms.com/ItemGallery/08DCFA78-7207-4878-88E4-0CCD86FB5021/C97C51F8-FAF9-4A63-A282-AAE9CDE3AAC6.png","Gallery Image ")</f>
      </c>
      <c r="W942" s="0" t="s">
        <v>22</v>
      </c>
      <c r="X942" s="0" t="s">
        <v>3794</v>
      </c>
    </row>
    <row r="943">
      <c r="A943" s="0" t="s">
        <v>3795</v>
      </c>
      <c r="B943" s="0" t="s">
        <v>3795</v>
      </c>
      <c r="C943" s="0" t="s">
        <v>3796</v>
      </c>
      <c r="D943" s="0" t="s">
        <v>27</v>
      </c>
      <c r="E943" s="0" t="s">
        <v>3583</v>
      </c>
      <c r="F943" s="0" t="s">
        <v>557</v>
      </c>
      <c r="G943" s="0" t="s">
        <v>3795</v>
      </c>
      <c r="H943" s="0" t="s">
        <v>3795</v>
      </c>
      <c r="I943" s="0" t="s">
        <v>615</v>
      </c>
      <c r="J943" s="0" t="s">
        <v>615</v>
      </c>
      <c r="K943" s="0" t="s">
        <v>90</v>
      </c>
      <c r="L943" s="0" t="s">
        <v>32</v>
      </c>
      <c r="M943" s="0" t="s">
        <v>33</v>
      </c>
      <c r="N943" s="0" t="s">
        <v>3056</v>
      </c>
      <c r="O943" s="0" t="s">
        <v>35</v>
      </c>
      <c r="P943" s="0" t="s">
        <v>39</v>
      </c>
      <c r="Q943" s="0" t="s">
        <v>91</v>
      </c>
      <c r="R943" s="0" t="s">
        <v>3796</v>
      </c>
      <c r="S943" s="0" t="s">
        <v>3056</v>
      </c>
      <c r="T943" s="0">
        <f>HYPERLINK("https://storage.sslt.ae/ItemVariation/08DCFA78-72DF-4064-87A1-4DBC57C51A8D/2F0A1BDA-DE03-4116-98EB-63E8301C1A01.png","Variant Image")</f>
      </c>
      <c r="U943" s="0">
        <f>HYPERLINK("https://ec-qa-storage.kldlms.com/Item/08DCFA78-72DF-4064-87A1-4DBC57C51A8D/26CB991C-0B45-4978-B071-29F6C2DF591C.png","Thumbnail Image")</f>
      </c>
      <c r="V943" s="0">
        <f>HYPERLINK("https://ec-qa-storage.kldlms.com/ItemGallery/08DCFA78-72DF-4064-87A1-4DBC57C51A8D/93AE9160-B7A5-4D0F-8C30-0CB84DBA9F97.png","Gallery Image ")</f>
      </c>
      <c r="W943" s="0" t="s">
        <v>22</v>
      </c>
      <c r="X943" s="0" t="s">
        <v>3797</v>
      </c>
    </row>
    <row r="944">
      <c r="A944" s="0" t="s">
        <v>3798</v>
      </c>
      <c r="B944" s="0" t="s">
        <v>3798</v>
      </c>
      <c r="C944" s="0" t="s">
        <v>3799</v>
      </c>
      <c r="D944" s="0" t="s">
        <v>27</v>
      </c>
      <c r="E944" s="0" t="s">
        <v>3583</v>
      </c>
      <c r="F944" s="0" t="s">
        <v>557</v>
      </c>
      <c r="G944" s="0" t="s">
        <v>3798</v>
      </c>
      <c r="H944" s="0" t="s">
        <v>3798</v>
      </c>
      <c r="I944" s="0" t="s">
        <v>615</v>
      </c>
      <c r="J944" s="0" t="s">
        <v>615</v>
      </c>
      <c r="K944" s="0" t="s">
        <v>701</v>
      </c>
      <c r="L944" s="0" t="s">
        <v>32</v>
      </c>
      <c r="M944" s="0" t="s">
        <v>33</v>
      </c>
      <c r="N944" s="0" t="s">
        <v>254</v>
      </c>
      <c r="O944" s="0" t="s">
        <v>35</v>
      </c>
      <c r="P944" s="0" t="s">
        <v>39</v>
      </c>
      <c r="Q944" s="0" t="s">
        <v>3800</v>
      </c>
      <c r="R944" s="0" t="s">
        <v>3799</v>
      </c>
      <c r="S944" s="0" t="s">
        <v>254</v>
      </c>
      <c r="T944" s="0">
        <f>HYPERLINK("https://storage.sslt.ae/ItemVariation/08DCFA78-733B-4005-8714-412C0F2B8265/8378E3D9-6E95-43B6-A8FE-157363098C67.png","Variant Image")</f>
      </c>
      <c r="U944" s="0">
        <f>HYPERLINK("https://ec-qa-storage.kldlms.com/Item/08DCFA78-733B-4005-8714-412C0F2B8265/9EF0D47B-1CF6-4589-9E4B-CD2659D0CFF9.png","Thumbnail Image")</f>
      </c>
      <c r="V944" s="0">
        <f>HYPERLINK("https://ec-qa-storage.kldlms.com/ItemGallery/08DCFA78-733B-4005-8714-412C0F2B8265/7FB56D8B-BABD-4874-AE14-B792386A32AF.png","Gallery Image ")</f>
      </c>
      <c r="W944" s="0" t="s">
        <v>22</v>
      </c>
      <c r="X944" s="0" t="s">
        <v>3801</v>
      </c>
    </row>
    <row r="945">
      <c r="A945" s="0" t="s">
        <v>3802</v>
      </c>
      <c r="B945" s="0" t="s">
        <v>3802</v>
      </c>
      <c r="C945" s="0" t="s">
        <v>3803</v>
      </c>
      <c r="D945" s="0" t="s">
        <v>27</v>
      </c>
      <c r="E945" s="0" t="s">
        <v>3583</v>
      </c>
      <c r="F945" s="0" t="s">
        <v>3120</v>
      </c>
      <c r="G945" s="0" t="s">
        <v>3802</v>
      </c>
      <c r="H945" s="0" t="s">
        <v>3802</v>
      </c>
      <c r="I945" s="0" t="s">
        <v>615</v>
      </c>
      <c r="J945" s="0" t="s">
        <v>615</v>
      </c>
      <c r="K945" s="0" t="s">
        <v>3804</v>
      </c>
      <c r="L945" s="0" t="s">
        <v>32</v>
      </c>
      <c r="M945" s="0" t="s">
        <v>33</v>
      </c>
      <c r="N945" s="0" t="s">
        <v>349</v>
      </c>
      <c r="O945" s="0" t="s">
        <v>35</v>
      </c>
      <c r="P945" s="0" t="s">
        <v>39</v>
      </c>
      <c r="Q945" s="0" t="s">
        <v>3805</v>
      </c>
      <c r="R945" s="0" t="s">
        <v>3803</v>
      </c>
      <c r="S945" s="0" t="s">
        <v>349</v>
      </c>
      <c r="T945" s="0">
        <f>HYPERLINK("https://storage.sslt.ae/ItemVariation/08DCFA78-7397-4FC8-8C56-89DA92C87329/8172873F-7A54-4A6E-91F1-79AD85C6A95A.png","Variant Image")</f>
      </c>
      <c r="U945" s="0">
        <f>HYPERLINK("https://ec-qa-storage.kldlms.com/Item/08DCFA78-7397-4FC8-8C56-89DA92C87329/FD52CE06-6A16-420E-9052-88A5159FD44D.png","Thumbnail Image")</f>
      </c>
      <c r="V945" s="0">
        <f>HYPERLINK("https://ec-qa-storage.kldlms.com/ItemGallery/08DCFA78-7397-4FC8-8C56-89DA92C87329/40D3A369-4C3F-4026-9E54-6550459FD030.png","Gallery Image ")</f>
      </c>
      <c r="W945" s="0" t="s">
        <v>22</v>
      </c>
      <c r="X945" s="0" t="s">
        <v>3806</v>
      </c>
    </row>
    <row r="946">
      <c r="A946" s="0" t="s">
        <v>3802</v>
      </c>
      <c r="B946" s="0" t="s">
        <v>3802</v>
      </c>
      <c r="C946" s="0" t="s">
        <v>3807</v>
      </c>
      <c r="D946" s="0" t="s">
        <v>27</v>
      </c>
      <c r="E946" s="0" t="s">
        <v>3583</v>
      </c>
      <c r="F946" s="0" t="s">
        <v>3120</v>
      </c>
      <c r="G946" s="0" t="s">
        <v>3802</v>
      </c>
      <c r="H946" s="0" t="s">
        <v>3802</v>
      </c>
      <c r="I946" s="0" t="s">
        <v>615</v>
      </c>
      <c r="J946" s="0" t="s">
        <v>615</v>
      </c>
      <c r="K946" s="0" t="s">
        <v>1206</v>
      </c>
      <c r="L946" s="0" t="s">
        <v>32</v>
      </c>
      <c r="M946" s="0" t="s">
        <v>33</v>
      </c>
      <c r="N946" s="0" t="s">
        <v>3808</v>
      </c>
      <c r="O946" s="0" t="s">
        <v>35</v>
      </c>
      <c r="P946" s="0" t="s">
        <v>39</v>
      </c>
      <c r="Q946" s="0" t="s">
        <v>3268</v>
      </c>
      <c r="R946" s="0" t="s">
        <v>3807</v>
      </c>
      <c r="S946" s="0" t="s">
        <v>3808</v>
      </c>
      <c r="T946" s="0">
        <f>HYPERLINK("https://storage.sslt.ae/ItemVariation/08DCFA78-73F3-466E-88EE-2E2796A46451/A9EC752A-1D7B-4E23-BD7B-972A31BCB4BB.png","Variant Image")</f>
      </c>
      <c r="U946" s="0">
        <f>HYPERLINK("https://ec-qa-storage.kldlms.com/Item/08DCFA78-73F3-466E-88EE-2E2796A46451/8131BEBE-D1F6-4622-90A9-B9DFB3F32F95.png","Thumbnail Image")</f>
      </c>
      <c r="V946" s="0">
        <f>HYPERLINK("https://ec-qa-storage.kldlms.com/ItemGallery/08DCFA78-73F3-466E-88EE-2E2796A46451/21944773-3CBC-4744-B808-40E6E9DD31AA.png","Gallery Image ")</f>
      </c>
      <c r="W946" s="0" t="s">
        <v>22</v>
      </c>
      <c r="X946" s="0" t="s">
        <v>3809</v>
      </c>
    </row>
    <row r="947">
      <c r="A947" s="0" t="s">
        <v>3810</v>
      </c>
      <c r="B947" s="0" t="s">
        <v>3810</v>
      </c>
      <c r="C947" s="0" t="s">
        <v>3811</v>
      </c>
      <c r="D947" s="0" t="s">
        <v>27</v>
      </c>
      <c r="E947" s="0" t="s">
        <v>3583</v>
      </c>
      <c r="F947" s="0" t="s">
        <v>3120</v>
      </c>
      <c r="G947" s="0" t="s">
        <v>3810</v>
      </c>
      <c r="H947" s="0" t="s">
        <v>3810</v>
      </c>
      <c r="I947" s="0" t="s">
        <v>615</v>
      </c>
      <c r="J947" s="0" t="s">
        <v>615</v>
      </c>
      <c r="K947" s="0" t="s">
        <v>1670</v>
      </c>
      <c r="L947" s="0" t="s">
        <v>32</v>
      </c>
      <c r="M947" s="0" t="s">
        <v>33</v>
      </c>
      <c r="N947" s="0" t="s">
        <v>110</v>
      </c>
      <c r="O947" s="0" t="s">
        <v>35</v>
      </c>
      <c r="P947" s="0" t="s">
        <v>39</v>
      </c>
      <c r="Q947" s="0" t="s">
        <v>3812</v>
      </c>
      <c r="R947" s="0" t="s">
        <v>3811</v>
      </c>
      <c r="S947" s="0" t="s">
        <v>110</v>
      </c>
      <c r="T947" s="0">
        <f>HYPERLINK("https://storage.sslt.ae/ItemVariation/08DCFA78-744F-430F-8AE6-EF832656141A/6841610D-ABDA-46BA-B937-288177F052A6.png","Variant Image")</f>
      </c>
      <c r="U947" s="0">
        <f>HYPERLINK("https://ec-qa-storage.kldlms.com/Item/08DCFA78-744F-430F-8AE6-EF832656141A/E7B37ADD-61EC-4A11-AB1F-5DA1BA99C0C1.png","Thumbnail Image")</f>
      </c>
      <c r="V947" s="0">
        <f>HYPERLINK("https://ec-qa-storage.kldlms.com/ItemGallery/08DCFA78-744F-430F-8AE6-EF832656141A/62249489-C66E-447A-984C-A71C2DDAD412.png","Gallery Image ")</f>
      </c>
      <c r="W947" s="0" t="s">
        <v>22</v>
      </c>
      <c r="X947" s="0" t="s">
        <v>3813</v>
      </c>
    </row>
    <row r="948">
      <c r="A948" s="0" t="s">
        <v>3814</v>
      </c>
      <c r="B948" s="0" t="s">
        <v>3814</v>
      </c>
      <c r="C948" s="0" t="s">
        <v>3815</v>
      </c>
      <c r="D948" s="0" t="s">
        <v>27</v>
      </c>
      <c r="E948" s="0" t="s">
        <v>3583</v>
      </c>
      <c r="F948" s="0" t="s">
        <v>3120</v>
      </c>
      <c r="G948" s="0" t="s">
        <v>3814</v>
      </c>
      <c r="H948" s="0" t="s">
        <v>3814</v>
      </c>
      <c r="I948" s="0" t="s">
        <v>615</v>
      </c>
      <c r="J948" s="0" t="s">
        <v>615</v>
      </c>
      <c r="K948" s="0" t="s">
        <v>3816</v>
      </c>
      <c r="L948" s="0" t="s">
        <v>32</v>
      </c>
      <c r="M948" s="0" t="s">
        <v>33</v>
      </c>
      <c r="N948" s="0" t="s">
        <v>202</v>
      </c>
      <c r="O948" s="0" t="s">
        <v>35</v>
      </c>
      <c r="P948" s="0" t="s">
        <v>39</v>
      </c>
      <c r="Q948" s="0" t="s">
        <v>3817</v>
      </c>
      <c r="R948" s="0" t="s">
        <v>3815</v>
      </c>
      <c r="S948" s="0" t="s">
        <v>202</v>
      </c>
      <c r="T948" s="0">
        <f>HYPERLINK("https://storage.sslt.ae/ItemVariation/08DCFA78-74AB-4BC6-8B3E-C3091EC62DD2/89B1E23A-BCA3-4774-A49F-3C26F50B4FDC.png","Variant Image")</f>
      </c>
      <c r="U948" s="0">
        <f>HYPERLINK("https://ec-qa-storage.kldlms.com/Item/08DCFA78-74AB-4BC6-8B3E-C3091EC62DD2/ADADA0E7-6F6A-4F6A-9CF0-A07D0BF0A6B5.png","Thumbnail Image")</f>
      </c>
      <c r="V948" s="0">
        <f>HYPERLINK("https://ec-qa-storage.kldlms.com/ItemGallery/08DCFA78-74AB-4BC6-8B3E-C3091EC62DD2/5CA54B67-7B22-4526-BA0D-816002CCB85D.png","Gallery Image ")</f>
      </c>
      <c r="W948" s="0" t="s">
        <v>22</v>
      </c>
      <c r="X948" s="0" t="s">
        <v>3818</v>
      </c>
    </row>
    <row r="949">
      <c r="A949" s="0" t="s">
        <v>3819</v>
      </c>
      <c r="B949" s="0" t="s">
        <v>3819</v>
      </c>
      <c r="C949" s="0" t="s">
        <v>3820</v>
      </c>
      <c r="D949" s="0" t="s">
        <v>27</v>
      </c>
      <c r="E949" s="0" t="s">
        <v>3583</v>
      </c>
      <c r="F949" s="0" t="s">
        <v>3120</v>
      </c>
      <c r="G949" s="0" t="s">
        <v>3819</v>
      </c>
      <c r="H949" s="0" t="s">
        <v>3819</v>
      </c>
      <c r="I949" s="0" t="s">
        <v>615</v>
      </c>
      <c r="J949" s="0" t="s">
        <v>615</v>
      </c>
      <c r="K949" s="0" t="s">
        <v>1442</v>
      </c>
      <c r="L949" s="0" t="s">
        <v>32</v>
      </c>
      <c r="M949" s="0" t="s">
        <v>33</v>
      </c>
      <c r="N949" s="0" t="s">
        <v>3047</v>
      </c>
      <c r="O949" s="0" t="s">
        <v>35</v>
      </c>
      <c r="P949" s="0" t="s">
        <v>39</v>
      </c>
      <c r="Q949" s="0" t="s">
        <v>1443</v>
      </c>
      <c r="R949" s="0" t="s">
        <v>3820</v>
      </c>
      <c r="S949" s="0" t="s">
        <v>3047</v>
      </c>
      <c r="T949" s="0">
        <f>HYPERLINK("https://storage.sslt.ae/ItemVariation/08DCFA78-7507-42C7-873D-B6628A231148/3A85D5DD-DB2E-4886-BB50-919791623240.png","Variant Image")</f>
      </c>
      <c r="U949" s="0">
        <f>HYPERLINK("https://ec-qa-storage.kldlms.com/Item/08DCFA78-7507-42C7-873D-B6628A231148/A63D47FD-27EF-41EF-B903-AB981F11B297.png","Thumbnail Image")</f>
      </c>
      <c r="V949" s="0">
        <f>HYPERLINK("https://ec-qa-storage.kldlms.com/ItemGallery/08DCFA78-7507-42C7-873D-B6628A231148/73148638-9733-4736-9059-4D5990EC1785.png","Gallery Image ")</f>
      </c>
      <c r="W949" s="0" t="s">
        <v>22</v>
      </c>
      <c r="X949" s="0" t="s">
        <v>3821</v>
      </c>
    </row>
    <row r="950">
      <c r="A950" s="0" t="s">
        <v>3819</v>
      </c>
      <c r="B950" s="0" t="s">
        <v>3819</v>
      </c>
      <c r="C950" s="0" t="s">
        <v>3822</v>
      </c>
      <c r="D950" s="0" t="s">
        <v>27</v>
      </c>
      <c r="E950" s="0" t="s">
        <v>3583</v>
      </c>
      <c r="F950" s="0" t="s">
        <v>3120</v>
      </c>
      <c r="G950" s="0" t="s">
        <v>3819</v>
      </c>
      <c r="H950" s="0" t="s">
        <v>3819</v>
      </c>
      <c r="I950" s="0" t="s">
        <v>615</v>
      </c>
      <c r="J950" s="0" t="s">
        <v>615</v>
      </c>
      <c r="K950" s="0" t="s">
        <v>1442</v>
      </c>
      <c r="L950" s="0" t="s">
        <v>32</v>
      </c>
      <c r="M950" s="0" t="s">
        <v>33</v>
      </c>
      <c r="N950" s="0" t="s">
        <v>3823</v>
      </c>
      <c r="O950" s="0" t="s">
        <v>35</v>
      </c>
      <c r="P950" s="0" t="s">
        <v>39</v>
      </c>
      <c r="Q950" s="0" t="s">
        <v>1443</v>
      </c>
      <c r="R950" s="0" t="s">
        <v>3822</v>
      </c>
      <c r="S950" s="0" t="s">
        <v>3823</v>
      </c>
      <c r="T950" s="0">
        <f>HYPERLINK("https://storage.sslt.ae/ItemVariation/08DCFA78-7562-4DA6-8F92-47DF10D3BA8A/44F8CEAB-E837-4F69-A0C9-1A41F47E6901.png","Variant Image")</f>
      </c>
      <c r="U950" s="0">
        <f>HYPERLINK("https://ec-qa-storage.kldlms.com/Item/08DCFA78-7562-4DA6-8F92-47DF10D3BA8A/12972667-887F-421E-B6EC-60E2099F8A40.png","Thumbnail Image")</f>
      </c>
      <c r="V950" s="0">
        <f>HYPERLINK("https://ec-qa-storage.kldlms.com/ItemGallery/08DCFA78-7562-4DA6-8F92-47DF10D3BA8A/02BA69B9-A97F-4B40-A9F0-B9FFC63F3D23.png","Gallery Image ")</f>
      </c>
      <c r="W950" s="0" t="s">
        <v>22</v>
      </c>
      <c r="X950" s="0" t="s">
        <v>3824</v>
      </c>
    </row>
    <row r="951">
      <c r="A951" s="0" t="s">
        <v>3825</v>
      </c>
      <c r="B951" s="0" t="s">
        <v>3825</v>
      </c>
      <c r="C951" s="0" t="s">
        <v>3826</v>
      </c>
      <c r="D951" s="0" t="s">
        <v>27</v>
      </c>
      <c r="E951" s="0" t="s">
        <v>3583</v>
      </c>
      <c r="F951" s="0" t="s">
        <v>3120</v>
      </c>
      <c r="G951" s="0" t="s">
        <v>3825</v>
      </c>
      <c r="H951" s="0" t="s">
        <v>3825</v>
      </c>
      <c r="I951" s="0" t="s">
        <v>615</v>
      </c>
      <c r="J951" s="0" t="s">
        <v>615</v>
      </c>
      <c r="K951" s="0" t="s">
        <v>3827</v>
      </c>
      <c r="L951" s="0" t="s">
        <v>32</v>
      </c>
      <c r="M951" s="0" t="s">
        <v>33</v>
      </c>
      <c r="N951" s="0" t="s">
        <v>110</v>
      </c>
      <c r="O951" s="0" t="s">
        <v>35</v>
      </c>
      <c r="P951" s="0" t="s">
        <v>39</v>
      </c>
      <c r="Q951" s="0" t="s">
        <v>3828</v>
      </c>
      <c r="R951" s="0" t="s">
        <v>3826</v>
      </c>
      <c r="S951" s="0" t="s">
        <v>110</v>
      </c>
      <c r="T951" s="0">
        <f>HYPERLINK("https://storage.sslt.ae/ItemVariation/08DCFA78-75BE-480B-8DA1-C79AC0A6E68C/FFC4D781-BBEA-4178-A193-838C44C190ED.png","Variant Image")</f>
      </c>
      <c r="U951" s="0">
        <f>HYPERLINK("https://ec-qa-storage.kldlms.com/Item/08DCFA78-75BE-480B-8DA1-C79AC0A6E68C/18602ABB-ED8E-417C-95F8-A82E76100061.png","Thumbnail Image")</f>
      </c>
      <c r="V951" s="0">
        <f>HYPERLINK("https://ec-qa-storage.kldlms.com/ItemGallery/08DCFA78-75BE-480B-8DA1-C79AC0A6E68C/9B61FFDB-CB03-4530-87E2-595341A621DF.png","Gallery Image ")</f>
      </c>
      <c r="W951" s="0" t="s">
        <v>22</v>
      </c>
      <c r="X951" s="0" t="s">
        <v>3829</v>
      </c>
    </row>
    <row r="952">
      <c r="A952" s="0" t="s">
        <v>3830</v>
      </c>
      <c r="B952" s="0" t="s">
        <v>3830</v>
      </c>
      <c r="C952" s="0" t="s">
        <v>3831</v>
      </c>
      <c r="D952" s="0" t="s">
        <v>27</v>
      </c>
      <c r="E952" s="0" t="s">
        <v>3583</v>
      </c>
      <c r="F952" s="0" t="s">
        <v>3120</v>
      </c>
      <c r="G952" s="0" t="s">
        <v>3830</v>
      </c>
      <c r="H952" s="0" t="s">
        <v>3830</v>
      </c>
      <c r="I952" s="0" t="s">
        <v>615</v>
      </c>
      <c r="J952" s="0" t="s">
        <v>615</v>
      </c>
      <c r="K952" s="0" t="s">
        <v>3832</v>
      </c>
      <c r="L952" s="0" t="s">
        <v>32</v>
      </c>
      <c r="M952" s="0" t="s">
        <v>33</v>
      </c>
      <c r="N952" s="0" t="s">
        <v>1119</v>
      </c>
      <c r="O952" s="0" t="s">
        <v>35</v>
      </c>
      <c r="P952" s="0" t="s">
        <v>39</v>
      </c>
      <c r="Q952" s="0" t="s">
        <v>3833</v>
      </c>
      <c r="R952" s="0" t="s">
        <v>3831</v>
      </c>
      <c r="S952" s="0" t="s">
        <v>1119</v>
      </c>
      <c r="T952" s="0">
        <f>HYPERLINK("https://storage.sslt.ae/ItemVariation/08DCFA78-761A-4469-8913-903465DBB1E7/9400C7CF-27C0-47FA-96CF-99403DED3DAB.png","Variant Image")</f>
      </c>
      <c r="U952" s="0">
        <f>HYPERLINK("https://ec-qa-storage.kldlms.com/Item/08DCFA78-761A-4469-8913-903465DBB1E7/C66A2CF9-93C8-4398-AA0C-F1A6FD206039.png","Thumbnail Image")</f>
      </c>
      <c r="V952" s="0">
        <f>HYPERLINK("https://ec-qa-storage.kldlms.com/ItemGallery/08DCFA78-761A-4469-8913-903465DBB1E7/052DB2C4-085B-4F06-971B-5368ECD8BA8C.png","Gallery Image ")</f>
      </c>
      <c r="W952" s="0" t="s">
        <v>22</v>
      </c>
      <c r="X952" s="0" t="s">
        <v>3834</v>
      </c>
    </row>
    <row r="953">
      <c r="A953" s="0" t="s">
        <v>3835</v>
      </c>
      <c r="B953" s="0" t="s">
        <v>3835</v>
      </c>
      <c r="C953" s="0" t="s">
        <v>3836</v>
      </c>
      <c r="D953" s="0" t="s">
        <v>27</v>
      </c>
      <c r="E953" s="0" t="s">
        <v>3583</v>
      </c>
      <c r="F953" s="0" t="s">
        <v>3120</v>
      </c>
      <c r="G953" s="0" t="s">
        <v>3835</v>
      </c>
      <c r="H953" s="0" t="s">
        <v>3835</v>
      </c>
      <c r="I953" s="0" t="s">
        <v>615</v>
      </c>
      <c r="J953" s="0" t="s">
        <v>615</v>
      </c>
      <c r="K953" s="0" t="s">
        <v>3837</v>
      </c>
      <c r="L953" s="0" t="s">
        <v>32</v>
      </c>
      <c r="M953" s="0" t="s">
        <v>33</v>
      </c>
      <c r="N953" s="0" t="s">
        <v>337</v>
      </c>
      <c r="O953" s="0" t="s">
        <v>35</v>
      </c>
      <c r="P953" s="0" t="s">
        <v>39</v>
      </c>
      <c r="Q953" s="0" t="s">
        <v>3838</v>
      </c>
      <c r="R953" s="0" t="s">
        <v>3836</v>
      </c>
      <c r="S953" s="0" t="s">
        <v>337</v>
      </c>
      <c r="T953" s="0">
        <f>HYPERLINK("https://storage.sslt.ae/ItemVariation/08DCFA78-7676-4CDF-857C-9B4CAEEC0428/45823ADE-9C44-49AC-8723-41F0251C9452.png","Variant Image")</f>
      </c>
      <c r="U953" s="0">
        <f>HYPERLINK("https://ec-qa-storage.kldlms.com/Item/08DCFA78-7676-4CDF-857C-9B4CAEEC0428/6348D4E2-8FE7-44B7-8E98-D4193964941F.png","Thumbnail Image")</f>
      </c>
      <c r="V953" s="0">
        <f>HYPERLINK("https://ec-qa-storage.kldlms.com/ItemGallery/08DCFA78-7676-4CDF-857C-9B4CAEEC0428/F80A3C83-F049-47C0-8F61-5CA648A06A1F.png","Gallery Image ")</f>
      </c>
      <c r="W953" s="0" t="s">
        <v>22</v>
      </c>
      <c r="X953" s="0" t="s">
        <v>3839</v>
      </c>
    </row>
    <row r="954">
      <c r="A954" s="0" t="s">
        <v>3840</v>
      </c>
      <c r="B954" s="0" t="s">
        <v>3840</v>
      </c>
      <c r="C954" s="0" t="s">
        <v>3841</v>
      </c>
      <c r="D954" s="0" t="s">
        <v>27</v>
      </c>
      <c r="E954" s="0" t="s">
        <v>3583</v>
      </c>
      <c r="F954" s="0" t="s">
        <v>3120</v>
      </c>
      <c r="G954" s="0" t="s">
        <v>3840</v>
      </c>
      <c r="H954" s="0" t="s">
        <v>3840</v>
      </c>
      <c r="I954" s="0" t="s">
        <v>615</v>
      </c>
      <c r="J954" s="0" t="s">
        <v>615</v>
      </c>
      <c r="K954" s="0" t="s">
        <v>3842</v>
      </c>
      <c r="L954" s="0" t="s">
        <v>32</v>
      </c>
      <c r="M954" s="0" t="s">
        <v>33</v>
      </c>
      <c r="N954" s="0" t="s">
        <v>3358</v>
      </c>
      <c r="O954" s="0" t="s">
        <v>35</v>
      </c>
      <c r="P954" s="0" t="s">
        <v>39</v>
      </c>
      <c r="Q954" s="0" t="s">
        <v>3843</v>
      </c>
      <c r="R954" s="0" t="s">
        <v>3841</v>
      </c>
      <c r="S954" s="0" t="s">
        <v>3358</v>
      </c>
      <c r="T954" s="0">
        <f>HYPERLINK("https://storage.sslt.ae/ItemVariation/08DCFA78-76D3-43D0-8F53-6B58061992C6/ADB224EE-750F-4622-B84A-781A64485A6F.png","Variant Image")</f>
      </c>
      <c r="U954" s="0">
        <f>HYPERLINK("https://ec-qa-storage.kldlms.com/Item/08DCFA78-76D3-43D0-8F53-6B58061992C6/4D60D6E8-BB11-4C9C-8E42-82D1D3797CC7.png","Thumbnail Image")</f>
      </c>
      <c r="V954" s="0">
        <f>HYPERLINK("https://ec-qa-storage.kldlms.com/ItemGallery/08DCFA78-76D3-43D0-8F53-6B58061992C6/047F4D0E-6D3D-40BB-9007-FBB535D05A8E.png","Gallery Image ")</f>
      </c>
      <c r="W954" s="0" t="s">
        <v>22</v>
      </c>
      <c r="X954" s="0" t="s">
        <v>3844</v>
      </c>
    </row>
    <row r="955">
      <c r="A955" s="0" t="s">
        <v>3845</v>
      </c>
      <c r="B955" s="0" t="s">
        <v>3845</v>
      </c>
      <c r="C955" s="0" t="s">
        <v>3846</v>
      </c>
      <c r="D955" s="0" t="s">
        <v>27</v>
      </c>
      <c r="E955" s="0" t="s">
        <v>3583</v>
      </c>
      <c r="F955" s="0" t="s">
        <v>3120</v>
      </c>
      <c r="G955" s="0" t="s">
        <v>3845</v>
      </c>
      <c r="H955" s="0" t="s">
        <v>3845</v>
      </c>
      <c r="I955" s="0" t="s">
        <v>615</v>
      </c>
      <c r="J955" s="0" t="s">
        <v>615</v>
      </c>
      <c r="K955" s="0" t="s">
        <v>3842</v>
      </c>
      <c r="L955" s="0" t="s">
        <v>32</v>
      </c>
      <c r="M955" s="0" t="s">
        <v>33</v>
      </c>
      <c r="N955" s="0" t="s">
        <v>2347</v>
      </c>
      <c r="O955" s="0" t="s">
        <v>35</v>
      </c>
      <c r="P955" s="0" t="s">
        <v>39</v>
      </c>
      <c r="Q955" s="0" t="s">
        <v>3843</v>
      </c>
      <c r="R955" s="0" t="s">
        <v>3846</v>
      </c>
      <c r="S955" s="0" t="s">
        <v>2347</v>
      </c>
      <c r="T955" s="0">
        <f>HYPERLINK("https://storage.sslt.ae/ItemVariation/08DCFA78-772E-4ABF-849D-080E1FF2C546/1DE78D83-AD16-417E-A30D-60C96F544687.png","Variant Image")</f>
      </c>
      <c r="U955" s="0">
        <f>HYPERLINK("https://ec-qa-storage.kldlms.com/Item/08DCFA78-772E-4ABF-849D-080E1FF2C546/2DE906C2-3F14-4170-8AB8-A128DC5429DF.png","Thumbnail Image")</f>
      </c>
      <c r="V955" s="0">
        <f>HYPERLINK("https://ec-qa-storage.kldlms.com/ItemGallery/08DCFA78-772E-4ABF-849D-080E1FF2C546/3A829039-FF19-4F1D-AF4B-61E0778BC6E7.png","Gallery Image ")</f>
      </c>
      <c r="W955" s="0" t="s">
        <v>22</v>
      </c>
      <c r="X955" s="0" t="s">
        <v>3847</v>
      </c>
    </row>
    <row r="956">
      <c r="A956" s="0" t="s">
        <v>3848</v>
      </c>
      <c r="B956" s="0" t="s">
        <v>3848</v>
      </c>
      <c r="C956" s="0" t="s">
        <v>3849</v>
      </c>
      <c r="D956" s="0" t="s">
        <v>27</v>
      </c>
      <c r="E956" s="0" t="s">
        <v>3583</v>
      </c>
      <c r="F956" s="0" t="s">
        <v>3120</v>
      </c>
      <c r="G956" s="0" t="s">
        <v>3848</v>
      </c>
      <c r="H956" s="0" t="s">
        <v>3848</v>
      </c>
      <c r="I956" s="0" t="s">
        <v>615</v>
      </c>
      <c r="J956" s="0" t="s">
        <v>615</v>
      </c>
      <c r="K956" s="0" t="s">
        <v>2211</v>
      </c>
      <c r="L956" s="0" t="s">
        <v>32</v>
      </c>
      <c r="M956" s="0" t="s">
        <v>33</v>
      </c>
      <c r="N956" s="0" t="s">
        <v>243</v>
      </c>
      <c r="O956" s="0" t="s">
        <v>35</v>
      </c>
      <c r="P956" s="0" t="s">
        <v>39</v>
      </c>
      <c r="Q956" s="0" t="s">
        <v>3850</v>
      </c>
      <c r="R956" s="0" t="s">
        <v>3849</v>
      </c>
      <c r="S956" s="0" t="s">
        <v>243</v>
      </c>
      <c r="T956" s="0">
        <f>HYPERLINK("https://storage.sslt.ae/ItemVariation/08DCFA78-778A-4E3D-8542-4C68773054DB/6CB4AE33-2AFB-4C21-BCEA-E148506EF47B.png","Variant Image")</f>
      </c>
      <c r="U956" s="0">
        <f>HYPERLINK("https://ec-qa-storage.kldlms.com/Item/08DCFA78-778A-4E3D-8542-4C68773054DB/07AA3920-4823-4E19-965B-41BDC9A53286.png","Thumbnail Image")</f>
      </c>
      <c r="V956" s="0">
        <f>HYPERLINK("https://ec-qa-storage.kldlms.com/ItemGallery/08DCFA78-778A-4E3D-8542-4C68773054DB/D7D2DF76-4352-48DB-8D0B-1B85ABBA9A93.png","Gallery Image ")</f>
      </c>
      <c r="W956" s="0" t="s">
        <v>22</v>
      </c>
      <c r="X956" s="0" t="s">
        <v>3851</v>
      </c>
    </row>
    <row r="957">
      <c r="A957" s="0" t="s">
        <v>3852</v>
      </c>
      <c r="B957" s="0" t="s">
        <v>3852</v>
      </c>
      <c r="C957" s="0" t="s">
        <v>3853</v>
      </c>
      <c r="D957" s="0" t="s">
        <v>27</v>
      </c>
      <c r="E957" s="0" t="s">
        <v>3160</v>
      </c>
      <c r="F957" s="0" t="s">
        <v>3137</v>
      </c>
      <c r="G957" s="0" t="s">
        <v>3852</v>
      </c>
      <c r="H957" s="0" t="s">
        <v>3852</v>
      </c>
      <c r="I957" s="0" t="s">
        <v>3854</v>
      </c>
      <c r="J957" s="0" t="s">
        <v>3854</v>
      </c>
      <c r="K957" s="0" t="s">
        <v>3855</v>
      </c>
      <c r="L957" s="0" t="s">
        <v>32</v>
      </c>
      <c r="M957" s="0" t="s">
        <v>61</v>
      </c>
      <c r="N957" s="0" t="s">
        <v>3856</v>
      </c>
      <c r="O957" s="0" t="s">
        <v>35</v>
      </c>
      <c r="P957" s="0" t="s">
        <v>39</v>
      </c>
      <c r="Q957" s="0" t="s">
        <v>3857</v>
      </c>
      <c r="R957" s="0" t="s">
        <v>3853</v>
      </c>
      <c r="S957" s="0" t="s">
        <v>3856</v>
      </c>
      <c r="T957" s="0">
        <f>HYPERLINK("https://storage.sslt.ae/ItemVariation/08DCFA78-77E7-4626-8327-A3426D301375/7E07149C-442E-4207-9C27-EFA4C88DC73B.png","Variant Image")</f>
      </c>
      <c r="U957" s="0">
        <f>HYPERLINK("https://ec-qa-storage.kldlms.com/Item/08DCFA78-77E7-4626-8327-A3426D301375/9F2713C4-7CA1-4C06-ACE5-166C21196142.jpeg","Thumbnail Image")</f>
      </c>
      <c r="V957" s="0">
        <f>HYPERLINK("https://ec-qa-storage.kldlms.com/ItemGallery/08DCFA78-77E7-4626-8327-A3426D301375/6287B01F-7B46-4ED1-B52F-18E0321CF47E.jpeg","Gallery Image ")</f>
      </c>
      <c r="W957" s="0" t="s">
        <v>22</v>
      </c>
    </row>
    <row r="958">
      <c r="P958" s="0" t="s">
        <v>593</v>
      </c>
      <c r="Q958" s="0" t="s">
        <v>3855</v>
      </c>
      <c r="R958" s="0" t="s">
        <v>3853</v>
      </c>
      <c r="S958" s="0" t="s">
        <v>32</v>
      </c>
      <c r="T958" s="0">
        <f>HYPERLINK("https://ec-qa-storage.kldlms.com/ItemVariation/08DCFA78-77E7-4626-8327-A3426D301375/B8176DC0-3A3C-4904-AFB2-2E8DB3C5D223.jpeg","Variant Image")</f>
      </c>
    </row>
    <row r="959">
      <c r="P959" s="0" t="s">
        <v>1016</v>
      </c>
      <c r="Q959" s="0" t="s">
        <v>3855</v>
      </c>
      <c r="R959" s="0" t="s">
        <v>3858</v>
      </c>
      <c r="S959" s="0" t="s">
        <v>32</v>
      </c>
      <c r="T959" s="0">
        <f>HYPERLINK("https://ec-qa-storage.kldlms.com/ItemVariation/08DCFA78-77E7-4626-8327-A3426D301375/DAC0E644-81EF-4EB0-B81B-DA193035F669.jpeg","Variant Image")</f>
      </c>
    </row>
    <row r="960">
      <c r="P960" s="0" t="s">
        <v>3859</v>
      </c>
      <c r="Q960" s="0" t="s">
        <v>3855</v>
      </c>
      <c r="R960" s="0" t="s">
        <v>2605</v>
      </c>
      <c r="S960" s="0" t="s">
        <v>32</v>
      </c>
      <c r="T960" s="0">
        <f>HYPERLINK("https://ec-qa-storage.kldlms.com/ItemVariation/08DCFA78-77E7-4626-8327-A3426D301375/EB46AEE2-C84B-423A-9A7D-FA88263F308A.jpg","Variant Image")</f>
      </c>
    </row>
    <row r="961">
      <c r="A961" s="0" t="s">
        <v>3860</v>
      </c>
      <c r="B961" s="0" t="s">
        <v>3860</v>
      </c>
      <c r="C961" s="0" t="s">
        <v>3858</v>
      </c>
      <c r="D961" s="0" t="s">
        <v>27</v>
      </c>
      <c r="E961" s="0" t="s">
        <v>3583</v>
      </c>
      <c r="F961" s="0" t="s">
        <v>3120</v>
      </c>
      <c r="G961" s="0" t="s">
        <v>3860</v>
      </c>
      <c r="H961" s="0" t="s">
        <v>3860</v>
      </c>
      <c r="I961" s="0" t="s">
        <v>615</v>
      </c>
      <c r="J961" s="0" t="s">
        <v>615</v>
      </c>
      <c r="K961" s="0" t="s">
        <v>3861</v>
      </c>
      <c r="L961" s="0" t="s">
        <v>32</v>
      </c>
      <c r="M961" s="0" t="s">
        <v>33</v>
      </c>
      <c r="N961" s="0" t="s">
        <v>209</v>
      </c>
      <c r="O961" s="0" t="s">
        <v>35</v>
      </c>
      <c r="P961" s="0" t="s">
        <v>39</v>
      </c>
      <c r="Q961" s="0" t="s">
        <v>3862</v>
      </c>
      <c r="R961" s="0" t="s">
        <v>3858</v>
      </c>
      <c r="S961" s="0" t="s">
        <v>209</v>
      </c>
      <c r="T961" s="0">
        <f>HYPERLINK("https://storage.sslt.ae/ItemVariation/08DCFA78-7842-4D12-88C8-3A818046F6DF/263F1B45-8CC3-401C-8D00-4C996FF73762.png","Variant Image")</f>
      </c>
      <c r="U961" s="0">
        <f>HYPERLINK("https://ec-qa-storage.kldlms.com/Item/08DCFA78-7842-4D12-88C8-3A818046F6DF/09959749-6DB0-4E4A-9882-A862DAAD297D.png","Thumbnail Image")</f>
      </c>
      <c r="V961" s="0">
        <f>HYPERLINK("https://ec-qa-storage.kldlms.com/ItemGallery/08DCFA78-7842-4D12-88C8-3A818046F6DF/153EA537-C362-4D63-8D67-E7F43351A64D.png","Gallery Image ")</f>
      </c>
      <c r="W961" s="0" t="s">
        <v>22</v>
      </c>
      <c r="X961" s="0" t="s">
        <v>3863</v>
      </c>
    </row>
    <row r="962">
      <c r="A962" s="0" t="s">
        <v>3864</v>
      </c>
      <c r="B962" s="0" t="s">
        <v>3864</v>
      </c>
      <c r="C962" s="0" t="s">
        <v>3865</v>
      </c>
      <c r="D962" s="0" t="s">
        <v>27</v>
      </c>
      <c r="E962" s="0" t="s">
        <v>3583</v>
      </c>
      <c r="F962" s="0" t="s">
        <v>3120</v>
      </c>
      <c r="G962" s="0" t="s">
        <v>3864</v>
      </c>
      <c r="H962" s="0" t="s">
        <v>3864</v>
      </c>
      <c r="I962" s="0" t="s">
        <v>615</v>
      </c>
      <c r="J962" s="0" t="s">
        <v>615</v>
      </c>
      <c r="K962" s="0" t="s">
        <v>706</v>
      </c>
      <c r="L962" s="0" t="s">
        <v>32</v>
      </c>
      <c r="M962" s="0" t="s">
        <v>33</v>
      </c>
      <c r="N962" s="0" t="s">
        <v>164</v>
      </c>
      <c r="O962" s="0" t="s">
        <v>35</v>
      </c>
      <c r="P962" s="0" t="s">
        <v>39</v>
      </c>
      <c r="Q962" s="0" t="s">
        <v>3866</v>
      </c>
      <c r="R962" s="0" t="s">
        <v>3865</v>
      </c>
      <c r="S962" s="0" t="s">
        <v>164</v>
      </c>
      <c r="T962" s="0">
        <f>HYPERLINK("https://storage.sslt.ae/ItemVariation/08DCFA78-789E-4538-8DA4-E166E8747FD3/4079EB93-6B8B-4B30-BFBF-1BEAF54416E6.png","Variant Image")</f>
      </c>
      <c r="U962" s="0">
        <f>HYPERLINK("https://ec-qa-storage.kldlms.com/Item/08DCFA78-789E-4538-8DA4-E166E8747FD3/B489362B-BC52-4819-8493-A3D60D3BC33D.png","Thumbnail Image")</f>
      </c>
      <c r="V962" s="0">
        <f>HYPERLINK("https://ec-qa-storage.kldlms.com/ItemGallery/08DCFA78-789E-4538-8DA4-E166E8747FD3/C733DCF0-0339-4DDC-A802-44CEF534C760.png","Gallery Image ")</f>
      </c>
      <c r="W962" s="0" t="s">
        <v>22</v>
      </c>
      <c r="X962" s="0" t="s">
        <v>3867</v>
      </c>
    </row>
    <row r="963">
      <c r="A963" s="0" t="s">
        <v>3868</v>
      </c>
      <c r="B963" s="0" t="s">
        <v>3868</v>
      </c>
      <c r="C963" s="0" t="s">
        <v>3869</v>
      </c>
      <c r="D963" s="0" t="s">
        <v>27</v>
      </c>
      <c r="E963" s="0" t="s">
        <v>3160</v>
      </c>
      <c r="F963" s="0" t="s">
        <v>3137</v>
      </c>
      <c r="G963" s="0" t="s">
        <v>3868</v>
      </c>
      <c r="H963" s="0" t="s">
        <v>3868</v>
      </c>
      <c r="I963" s="0" t="s">
        <v>3870</v>
      </c>
      <c r="J963" s="0" t="s">
        <v>3870</v>
      </c>
      <c r="K963" s="0" t="s">
        <v>1283</v>
      </c>
      <c r="L963" s="0" t="s">
        <v>32</v>
      </c>
      <c r="M963" s="0" t="s">
        <v>61</v>
      </c>
      <c r="N963" s="0" t="s">
        <v>3338</v>
      </c>
      <c r="O963" s="0" t="s">
        <v>35</v>
      </c>
      <c r="P963" s="0" t="s">
        <v>39</v>
      </c>
      <c r="Q963" s="0" t="s">
        <v>2199</v>
      </c>
      <c r="R963" s="0" t="s">
        <v>3869</v>
      </c>
      <c r="S963" s="0" t="s">
        <v>3338</v>
      </c>
      <c r="T963" s="0">
        <f>HYPERLINK("https://storage.sslt.ae/ItemVariation/08DCFA78-78F9-4DAF-8435-9C987C1B3008/CFEBC314-113F-4FFC-A426-BDB48CFDAD4E.png","Variant Image")</f>
      </c>
      <c r="U963" s="0">
        <f>HYPERLINK("https://ec-qa-storage.kldlms.com/Item/08DCFA78-78F9-4DAF-8435-9C987C1B3008/5333095E-F9D9-4C26-B28A-1CD3B4EC06A5.jpg","Thumbnail Image")</f>
      </c>
      <c r="V963" s="0">
        <f>HYPERLINK("https://ec-qa-storage.kldlms.com/ItemGallery/08DCFA78-78F9-4DAF-8435-9C987C1B3008/88A23F0C-4EA3-499F-817F-E08FB8097A18.jpg","Gallery Image ")</f>
      </c>
      <c r="W963" s="0" t="s">
        <v>22</v>
      </c>
    </row>
    <row r="964">
      <c r="P964" s="0" t="s">
        <v>527</v>
      </c>
      <c r="Q964" s="0" t="s">
        <v>1283</v>
      </c>
      <c r="R964" s="0" t="s">
        <v>3869</v>
      </c>
      <c r="S964" s="0" t="s">
        <v>32</v>
      </c>
      <c r="T964" s="0">
        <f>HYPERLINK("https://ec-qa-storage.kldlms.com/ItemVariation/08DCFA78-78F9-4DAF-8435-9C987C1B3008/A48F3635-E5AF-4D4D-B7A8-F38E055611C0.jpg","Variant Image")</f>
      </c>
    </row>
    <row r="965">
      <c r="A965" s="0" t="s">
        <v>3871</v>
      </c>
      <c r="B965" s="0" t="s">
        <v>3871</v>
      </c>
      <c r="C965" s="0" t="s">
        <v>3872</v>
      </c>
      <c r="D965" s="0" t="s">
        <v>27</v>
      </c>
      <c r="E965" s="0" t="s">
        <v>3873</v>
      </c>
      <c r="F965" s="0" t="s">
        <v>3137</v>
      </c>
      <c r="G965" s="0" t="s">
        <v>3871</v>
      </c>
      <c r="H965" s="0" t="s">
        <v>3871</v>
      </c>
      <c r="I965" s="0" t="s">
        <v>3874</v>
      </c>
      <c r="J965" s="0" t="s">
        <v>3874</v>
      </c>
      <c r="K965" s="0" t="s">
        <v>3875</v>
      </c>
      <c r="L965" s="0" t="s">
        <v>32</v>
      </c>
      <c r="M965" s="0" t="s">
        <v>61</v>
      </c>
      <c r="N965" s="0" t="s">
        <v>409</v>
      </c>
      <c r="O965" s="0" t="s">
        <v>35</v>
      </c>
      <c r="P965" s="0" t="s">
        <v>39</v>
      </c>
      <c r="Q965" s="0" t="s">
        <v>3876</v>
      </c>
      <c r="R965" s="0" t="s">
        <v>3872</v>
      </c>
      <c r="S965" s="0" t="s">
        <v>409</v>
      </c>
      <c r="T965" s="0">
        <f>HYPERLINK("https://storage.sslt.ae/ItemVariation/08DCFA78-7957-4170-83A8-41FE3D811893/A345BD88-E595-4E60-83AB-444E7627BE37.png","Variant Image")</f>
      </c>
      <c r="U965" s="0">
        <f>HYPERLINK("https://ec-qa-storage.kldlms.com/Item/08DCFA78-7957-4170-83A8-41FE3D811893/2A561F80-570C-488D-A291-D32777A63067.jpg","Thumbnail Image")</f>
      </c>
      <c r="V965" s="0">
        <f>HYPERLINK("https://ec-qa-storage.kldlms.com/ItemGallery/08DCFA78-7957-4170-83A8-41FE3D811893/F711F559-6D02-475E-BBCE-A52B42BAFB21.jpg","Gallery Image ")</f>
      </c>
      <c r="W965" s="0" t="s">
        <v>22</v>
      </c>
    </row>
    <row r="966">
      <c r="P966" s="0" t="s">
        <v>593</v>
      </c>
      <c r="Q966" s="0" t="s">
        <v>3875</v>
      </c>
      <c r="R966" s="0" t="s">
        <v>3872</v>
      </c>
      <c r="S966" s="0" t="s">
        <v>32</v>
      </c>
      <c r="T966" s="0">
        <f>HYPERLINK("https://ec-qa-storage.kldlms.com/ItemVariation/08DCFA78-7957-4170-83A8-41FE3D811893/6AFB8E92-4024-462F-8DD2-69E81ED57779.jpg","Variant Image")</f>
      </c>
    </row>
    <row r="967">
      <c r="A967" s="0" t="s">
        <v>3877</v>
      </c>
      <c r="B967" s="0" t="s">
        <v>3877</v>
      </c>
      <c r="C967" s="0" t="s">
        <v>3878</v>
      </c>
      <c r="D967" s="0" t="s">
        <v>27</v>
      </c>
      <c r="E967" s="0" t="s">
        <v>3879</v>
      </c>
      <c r="F967" s="0" t="s">
        <v>3137</v>
      </c>
      <c r="G967" s="0" t="s">
        <v>3877</v>
      </c>
      <c r="H967" s="0" t="s">
        <v>3877</v>
      </c>
      <c r="I967" s="0" t="s">
        <v>3880</v>
      </c>
      <c r="J967" s="0" t="s">
        <v>3880</v>
      </c>
      <c r="K967" s="0" t="s">
        <v>3881</v>
      </c>
      <c r="L967" s="0" t="s">
        <v>32</v>
      </c>
      <c r="M967" s="0" t="s">
        <v>61</v>
      </c>
      <c r="N967" s="0" t="s">
        <v>846</v>
      </c>
      <c r="O967" s="0" t="s">
        <v>35</v>
      </c>
      <c r="P967" s="0" t="s">
        <v>39</v>
      </c>
      <c r="Q967" s="0" t="s">
        <v>3882</v>
      </c>
      <c r="R967" s="0" t="s">
        <v>3878</v>
      </c>
      <c r="S967" s="0" t="s">
        <v>846</v>
      </c>
      <c r="T967" s="0">
        <f>HYPERLINK("https://storage.sslt.ae/ItemVariation/08DCFA78-79B2-43BF-8ED2-BEA4CB97D8C9/2AD3D665-3D83-47B8-BD4F-1432B11DAB51.png","Variant Image")</f>
      </c>
      <c r="U967" s="0">
        <f>HYPERLINK("https://ec-qa-storage.kldlms.com/Item/08DCFA78-79B2-43BF-8ED2-BEA4CB97D8C9/7817B4D2-A03C-4EF8-A30B-F7D3427CADEB.jpg","Thumbnail Image")</f>
      </c>
      <c r="V967" s="0">
        <f>HYPERLINK("https://ec-qa-storage.kldlms.com/ItemGallery/08DCFA78-79B2-43BF-8ED2-BEA4CB97D8C9/AB840BD5-D858-4E45-BF12-D826B975F2E7.jpg","Gallery Image ")</f>
      </c>
      <c r="W967" s="0" t="s">
        <v>22</v>
      </c>
    </row>
    <row r="968">
      <c r="P968" s="0" t="s">
        <v>593</v>
      </c>
      <c r="Q968" s="0" t="s">
        <v>3881</v>
      </c>
      <c r="R968" s="0" t="s">
        <v>3878</v>
      </c>
      <c r="S968" s="0" t="s">
        <v>32</v>
      </c>
      <c r="T968" s="0">
        <f>HYPERLINK("https://ec-qa-storage.kldlms.com/ItemVariation/08DCFA78-79B2-43BF-8ED2-BEA4CB97D8C9/B89735FF-7B83-40D5-A58A-CD93C85AB2E1.jpg","Variant Image")</f>
      </c>
    </row>
    <row r="969">
      <c r="A969" s="0" t="s">
        <v>3883</v>
      </c>
      <c r="B969" s="0" t="s">
        <v>3883</v>
      </c>
      <c r="C969" s="0" t="s">
        <v>3884</v>
      </c>
      <c r="D969" s="0" t="s">
        <v>27</v>
      </c>
      <c r="E969" s="0" t="s">
        <v>3885</v>
      </c>
      <c r="F969" s="0" t="s">
        <v>3886</v>
      </c>
      <c r="G969" s="0" t="s">
        <v>3883</v>
      </c>
      <c r="H969" s="0" t="s">
        <v>3883</v>
      </c>
      <c r="I969" s="0" t="s">
        <v>615</v>
      </c>
      <c r="J969" s="0" t="s">
        <v>615</v>
      </c>
      <c r="K969" s="0" t="s">
        <v>3887</v>
      </c>
      <c r="L969" s="0" t="s">
        <v>32</v>
      </c>
      <c r="M969" s="0" t="s">
        <v>33</v>
      </c>
      <c r="N969" s="0" t="s">
        <v>155</v>
      </c>
      <c r="O969" s="0" t="s">
        <v>35</v>
      </c>
      <c r="P969" s="0" t="s">
        <v>39</v>
      </c>
      <c r="Q969" s="0" t="s">
        <v>3888</v>
      </c>
      <c r="R969" s="0" t="s">
        <v>3884</v>
      </c>
      <c r="S969" s="0" t="s">
        <v>155</v>
      </c>
      <c r="T969" s="0">
        <f>HYPERLINK("https://storage.sslt.ae/ItemVariation/08DCFA78-7A0D-4C95-8822-DCBC4F691932/BD435B3C-31AC-484F-BE4D-51524155C2FF.png","Variant Image")</f>
      </c>
      <c r="U969" s="0">
        <f>HYPERLINK("https://ec-qa-storage.kldlms.com/Item/08DCFA78-7A0D-4C95-8822-DCBC4F691932/2F6E628B-D44B-4A6D-BB3A-0AFCE9D83B2C.png","Thumbnail Image")</f>
      </c>
      <c r="V969" s="0">
        <f>HYPERLINK("https://ec-qa-storage.kldlms.com/ItemGallery/08DCFA78-7A0D-4C95-8822-DCBC4F691932/1CA2704B-F9A5-4279-967A-137D780D5DC6.png","Gallery Image ")</f>
      </c>
      <c r="W969" s="0" t="s">
        <v>22</v>
      </c>
      <c r="X969" s="0" t="s">
        <v>3889</v>
      </c>
    </row>
    <row r="970">
      <c r="A970" s="0" t="s">
        <v>3883</v>
      </c>
      <c r="B970" s="0" t="s">
        <v>3883</v>
      </c>
      <c r="C970" s="0" t="s">
        <v>3890</v>
      </c>
      <c r="D970" s="0" t="s">
        <v>27</v>
      </c>
      <c r="E970" s="0" t="s">
        <v>3885</v>
      </c>
      <c r="F970" s="0" t="s">
        <v>3886</v>
      </c>
      <c r="G970" s="0" t="s">
        <v>3883</v>
      </c>
      <c r="H970" s="0" t="s">
        <v>3883</v>
      </c>
      <c r="I970" s="0" t="s">
        <v>615</v>
      </c>
      <c r="J970" s="0" t="s">
        <v>615</v>
      </c>
      <c r="K970" s="0" t="s">
        <v>3891</v>
      </c>
      <c r="L970" s="0" t="s">
        <v>32</v>
      </c>
      <c r="M970" s="0" t="s">
        <v>33</v>
      </c>
      <c r="N970" s="0" t="s">
        <v>851</v>
      </c>
      <c r="O970" s="0" t="s">
        <v>35</v>
      </c>
      <c r="P970" s="0" t="s">
        <v>39</v>
      </c>
      <c r="Q970" s="0" t="s">
        <v>3892</v>
      </c>
      <c r="R970" s="0" t="s">
        <v>3890</v>
      </c>
      <c r="S970" s="0" t="s">
        <v>851</v>
      </c>
      <c r="T970" s="0">
        <f>HYPERLINK("https://storage.sslt.ae/ItemVariation/08DCFA78-7A69-4894-8FF7-9B3362AD2367/23B729C3-5055-4D20-AD06-E7D092117E54.png","Variant Image")</f>
      </c>
      <c r="U970" s="0">
        <f>HYPERLINK("https://ec-qa-storage.kldlms.com/Item/08DCFA78-7A69-4894-8FF7-9B3362AD2367/96FD7AB1-B818-4BD5-B241-3883CE923275.png","Thumbnail Image")</f>
      </c>
      <c r="V970" s="0">
        <f>HYPERLINK("https://ec-qa-storage.kldlms.com/ItemGallery/08DCFA78-7A69-4894-8FF7-9B3362AD2367/925EA3A1-8F83-4AE2-8B69-F15AEAB72071.png","Gallery Image ")</f>
      </c>
      <c r="W970" s="0" t="s">
        <v>22</v>
      </c>
      <c r="X970" s="0" t="s">
        <v>3893</v>
      </c>
    </row>
    <row r="971">
      <c r="A971" s="0" t="s">
        <v>3894</v>
      </c>
      <c r="B971" s="0" t="s">
        <v>3894</v>
      </c>
      <c r="C971" s="0" t="s">
        <v>3895</v>
      </c>
      <c r="D971" s="0" t="s">
        <v>27</v>
      </c>
      <c r="E971" s="0" t="s">
        <v>3583</v>
      </c>
      <c r="F971" s="0" t="s">
        <v>3120</v>
      </c>
      <c r="G971" s="0" t="s">
        <v>3894</v>
      </c>
      <c r="H971" s="0" t="s">
        <v>3894</v>
      </c>
      <c r="I971" s="0" t="s">
        <v>615</v>
      </c>
      <c r="J971" s="0" t="s">
        <v>615</v>
      </c>
      <c r="K971" s="0" t="s">
        <v>1914</v>
      </c>
      <c r="L971" s="0" t="s">
        <v>32</v>
      </c>
      <c r="M971" s="0" t="s">
        <v>33</v>
      </c>
      <c r="N971" s="0" t="s">
        <v>209</v>
      </c>
      <c r="O971" s="0" t="s">
        <v>35</v>
      </c>
      <c r="P971" s="0" t="s">
        <v>39</v>
      </c>
      <c r="Q971" s="0" t="s">
        <v>1916</v>
      </c>
      <c r="R971" s="0" t="s">
        <v>3895</v>
      </c>
      <c r="S971" s="0" t="s">
        <v>209</v>
      </c>
      <c r="T971" s="0">
        <f>HYPERLINK("https://storage.sslt.ae/ItemVariation/08DCFA78-7AC5-48F5-8B7B-0AACA0CF9F88/3D7C6BC2-52FD-4224-82A8-20BA33FCB2C5.png","Variant Image")</f>
      </c>
      <c r="U971" s="0">
        <f>HYPERLINK("https://ec-qa-storage.kldlms.com/Item/08DCFA78-7AC5-48F5-8B7B-0AACA0CF9F88/8ABD8FD3-BEA4-4F22-A07A-755566491233.png","Thumbnail Image")</f>
      </c>
      <c r="V971" s="0">
        <f>HYPERLINK("https://ec-qa-storage.kldlms.com/ItemGallery/08DCFA78-7AC5-48F5-8B7B-0AACA0CF9F88/2C5EC87E-9252-4463-87B1-11BEC6C43055.png","Gallery Image ")</f>
      </c>
      <c r="W971" s="0" t="s">
        <v>22</v>
      </c>
      <c r="X971" s="0" t="s">
        <v>3896</v>
      </c>
    </row>
    <row r="972">
      <c r="A972" s="0" t="s">
        <v>3897</v>
      </c>
      <c r="B972" s="0" t="s">
        <v>3897</v>
      </c>
      <c r="C972" s="0" t="s">
        <v>3898</v>
      </c>
      <c r="D972" s="0" t="s">
        <v>27</v>
      </c>
      <c r="E972" s="0" t="s">
        <v>3583</v>
      </c>
      <c r="F972" s="0" t="s">
        <v>3120</v>
      </c>
      <c r="G972" s="0" t="s">
        <v>3897</v>
      </c>
      <c r="H972" s="0" t="s">
        <v>3897</v>
      </c>
      <c r="I972" s="0" t="s">
        <v>615</v>
      </c>
      <c r="J972" s="0" t="s">
        <v>615</v>
      </c>
      <c r="K972" s="0" t="s">
        <v>1914</v>
      </c>
      <c r="L972" s="0" t="s">
        <v>32</v>
      </c>
      <c r="M972" s="0" t="s">
        <v>33</v>
      </c>
      <c r="N972" s="0" t="s">
        <v>409</v>
      </c>
      <c r="O972" s="0" t="s">
        <v>35</v>
      </c>
      <c r="P972" s="0" t="s">
        <v>39</v>
      </c>
      <c r="Q972" s="0" t="s">
        <v>1916</v>
      </c>
      <c r="R972" s="0" t="s">
        <v>3898</v>
      </c>
      <c r="S972" s="0" t="s">
        <v>409</v>
      </c>
      <c r="T972" s="0">
        <f>HYPERLINK("https://storage.sslt.ae/ItemVariation/08DCFA78-7B21-4229-8F35-D27B87DA9170/770DA7D4-AC08-4E58-82CF-55B2A6F1D34D.png","Variant Image")</f>
      </c>
      <c r="U972" s="0">
        <f>HYPERLINK("https://ec-qa-storage.kldlms.com/Item/08DCFA78-7B21-4229-8F35-D27B87DA9170/FE37BB42-4653-4D43-B301-2F0F050D3042.png","Thumbnail Image")</f>
      </c>
      <c r="V972" s="0">
        <f>HYPERLINK("https://ec-qa-storage.kldlms.com/ItemGallery/08DCFA78-7B21-4229-8F35-D27B87DA9170/5076D471-23C0-4D12-8008-0B5A021CDD57.png","Gallery Image ")</f>
      </c>
      <c r="W972" s="0" t="s">
        <v>22</v>
      </c>
      <c r="X972" s="0" t="s">
        <v>3899</v>
      </c>
    </row>
    <row r="973">
      <c r="A973" s="0" t="s">
        <v>3900</v>
      </c>
      <c r="B973" s="0" t="s">
        <v>3900</v>
      </c>
      <c r="C973" s="0" t="s">
        <v>3901</v>
      </c>
      <c r="D973" s="0" t="s">
        <v>27</v>
      </c>
      <c r="E973" s="0" t="s">
        <v>3583</v>
      </c>
      <c r="F973" s="0" t="s">
        <v>3120</v>
      </c>
      <c r="G973" s="0" t="s">
        <v>3900</v>
      </c>
      <c r="H973" s="0" t="s">
        <v>3900</v>
      </c>
      <c r="I973" s="0" t="s">
        <v>615</v>
      </c>
      <c r="J973" s="0" t="s">
        <v>615</v>
      </c>
      <c r="K973" s="0" t="s">
        <v>3711</v>
      </c>
      <c r="L973" s="0" t="s">
        <v>32</v>
      </c>
      <c r="M973" s="0" t="s">
        <v>33</v>
      </c>
      <c r="N973" s="0" t="s">
        <v>512</v>
      </c>
      <c r="O973" s="0" t="s">
        <v>35</v>
      </c>
      <c r="P973" s="0" t="s">
        <v>39</v>
      </c>
      <c r="Q973" s="0" t="s">
        <v>3712</v>
      </c>
      <c r="R973" s="0" t="s">
        <v>3901</v>
      </c>
      <c r="S973" s="0" t="s">
        <v>512</v>
      </c>
      <c r="T973" s="0">
        <f>HYPERLINK("https://storage.sslt.ae/ItemVariation/08DCFA78-7B7D-41E9-8F13-FBB8F2C35B5B/6C88DA8E-C821-4F56-9015-A6AF62734626.png","Variant Image")</f>
      </c>
      <c r="U973" s="0">
        <f>HYPERLINK("https://ec-qa-storage.kldlms.com/Item/08DCFA78-7B7D-41E9-8F13-FBB8F2C35B5B/F9343AED-2197-404A-8286-3CAF2B7F0B6E.png","Thumbnail Image")</f>
      </c>
      <c r="V973" s="0">
        <f>HYPERLINK("https://ec-qa-storage.kldlms.com/ItemGallery/08DCFA78-7B7D-41E9-8F13-FBB8F2C35B5B/B7BC2F00-4898-4111-9720-D280A9CD0DF6.png","Gallery Image ")</f>
      </c>
      <c r="W973" s="0" t="s">
        <v>22</v>
      </c>
      <c r="X973" s="0" t="s">
        <v>3902</v>
      </c>
    </row>
    <row r="974">
      <c r="A974" s="0" t="s">
        <v>3903</v>
      </c>
      <c r="B974" s="0" t="s">
        <v>3903</v>
      </c>
      <c r="C974" s="0" t="s">
        <v>3904</v>
      </c>
      <c r="D974" s="0" t="s">
        <v>27</v>
      </c>
      <c r="E974" s="0" t="s">
        <v>3583</v>
      </c>
      <c r="F974" s="0" t="s">
        <v>3120</v>
      </c>
      <c r="G974" s="0" t="s">
        <v>3903</v>
      </c>
      <c r="H974" s="0" t="s">
        <v>3903</v>
      </c>
      <c r="I974" s="0" t="s">
        <v>615</v>
      </c>
      <c r="J974" s="0" t="s">
        <v>615</v>
      </c>
      <c r="K974" s="0" t="s">
        <v>3711</v>
      </c>
      <c r="L974" s="0" t="s">
        <v>32</v>
      </c>
      <c r="M974" s="0" t="s">
        <v>33</v>
      </c>
      <c r="N974" s="0" t="s">
        <v>1119</v>
      </c>
      <c r="O974" s="0" t="s">
        <v>35</v>
      </c>
      <c r="P974" s="0" t="s">
        <v>39</v>
      </c>
      <c r="Q974" s="0" t="s">
        <v>3712</v>
      </c>
      <c r="R974" s="0" t="s">
        <v>3904</v>
      </c>
      <c r="S974" s="0" t="s">
        <v>1119</v>
      </c>
      <c r="T974" s="0">
        <f>HYPERLINK("https://storage.sslt.ae/ItemVariation/08DCFA78-7BD8-49C3-8A9B-FD4EBF788515/1A76D107-4B90-4571-B677-28572A039FEB.png","Variant Image")</f>
      </c>
      <c r="U974" s="0">
        <f>HYPERLINK("https://ec-qa-storage.kldlms.com/Item/08DCFA78-7BD8-49C3-8A9B-FD4EBF788515/E2974EE3-7A6B-4A71-BBDF-E05178D0633A.png","Thumbnail Image")</f>
      </c>
      <c r="V974" s="0">
        <f>HYPERLINK("https://ec-qa-storage.kldlms.com/ItemGallery/08DCFA78-7BD8-49C3-8A9B-FD4EBF788515/36431E5F-6A45-490D-91D8-46A0B544CDDC.png","Gallery Image ")</f>
      </c>
      <c r="W974" s="0" t="s">
        <v>22</v>
      </c>
      <c r="X974" s="0" t="s">
        <v>3905</v>
      </c>
    </row>
    <row r="975">
      <c r="A975" s="0" t="s">
        <v>3906</v>
      </c>
      <c r="B975" s="0" t="s">
        <v>3906</v>
      </c>
      <c r="C975" s="0" t="s">
        <v>3907</v>
      </c>
      <c r="D975" s="0" t="s">
        <v>27</v>
      </c>
      <c r="E975" s="0" t="s">
        <v>3583</v>
      </c>
      <c r="F975" s="0" t="s">
        <v>3120</v>
      </c>
      <c r="G975" s="0" t="s">
        <v>3906</v>
      </c>
      <c r="H975" s="0" t="s">
        <v>3906</v>
      </c>
      <c r="I975" s="0" t="s">
        <v>615</v>
      </c>
      <c r="J975" s="0" t="s">
        <v>615</v>
      </c>
      <c r="K975" s="0" t="s">
        <v>3711</v>
      </c>
      <c r="L975" s="0" t="s">
        <v>32</v>
      </c>
      <c r="M975" s="0" t="s">
        <v>33</v>
      </c>
      <c r="N975" s="0" t="s">
        <v>409</v>
      </c>
      <c r="O975" s="0" t="s">
        <v>35</v>
      </c>
      <c r="P975" s="0" t="s">
        <v>39</v>
      </c>
      <c r="Q975" s="0" t="s">
        <v>3712</v>
      </c>
      <c r="R975" s="0" t="s">
        <v>3907</v>
      </c>
      <c r="S975" s="0" t="s">
        <v>409</v>
      </c>
      <c r="T975" s="0">
        <f>HYPERLINK("https://storage.sslt.ae/ItemVariation/08DCFA78-7C34-4FF1-8729-4A3B6ADAB5E5/AC95259F-96A9-4A45-92B9-288740F357F3.png","Variant Image")</f>
      </c>
      <c r="U975" s="0">
        <f>HYPERLINK("https://ec-qa-storage.kldlms.com/Item/08DCFA78-7C34-4FF1-8729-4A3B6ADAB5E5/F7AC2774-5F67-413E-AB67-617F79817818.png","Thumbnail Image")</f>
      </c>
      <c r="V975" s="0">
        <f>HYPERLINK("https://ec-qa-storage.kldlms.com/ItemGallery/08DCFA78-7C34-4FF1-8729-4A3B6ADAB5E5/0E37AF39-3DCC-4DC3-94FA-9068C5572C87.png","Gallery Image ")</f>
      </c>
      <c r="W975" s="0" t="s">
        <v>22</v>
      </c>
      <c r="X975" s="0" t="s">
        <v>3908</v>
      </c>
    </row>
    <row r="976">
      <c r="A976" s="0" t="s">
        <v>3909</v>
      </c>
      <c r="B976" s="0" t="s">
        <v>3909</v>
      </c>
      <c r="C976" s="0" t="s">
        <v>3910</v>
      </c>
      <c r="D976" s="0" t="s">
        <v>27</v>
      </c>
      <c r="E976" s="0" t="s">
        <v>3583</v>
      </c>
      <c r="F976" s="0" t="s">
        <v>3120</v>
      </c>
      <c r="G976" s="0" t="s">
        <v>3909</v>
      </c>
      <c r="H976" s="0" t="s">
        <v>3909</v>
      </c>
      <c r="I976" s="0" t="s">
        <v>615</v>
      </c>
      <c r="J976" s="0" t="s">
        <v>615</v>
      </c>
      <c r="K976" s="0" t="s">
        <v>1914</v>
      </c>
      <c r="L976" s="0" t="s">
        <v>32</v>
      </c>
      <c r="M976" s="0" t="s">
        <v>33</v>
      </c>
      <c r="N976" s="0" t="s">
        <v>245</v>
      </c>
      <c r="O976" s="0" t="s">
        <v>35</v>
      </c>
      <c r="P976" s="0" t="s">
        <v>39</v>
      </c>
      <c r="Q976" s="0" t="s">
        <v>1916</v>
      </c>
      <c r="R976" s="0" t="s">
        <v>3910</v>
      </c>
      <c r="S976" s="0" t="s">
        <v>245</v>
      </c>
      <c r="T976" s="0">
        <f>HYPERLINK("https://storage.sslt.ae/ItemVariation/08DCFA78-7C90-4C67-8358-39D31E028F03/CB4CBF9F-7361-4A66-9ADE-5F08FB4321E5.png","Variant Image")</f>
      </c>
      <c r="U976" s="0">
        <f>HYPERLINK("https://ec-qa-storage.kldlms.com/Item/08DCFA78-7C90-4C67-8358-39D31E028F03/D19F29BF-AE28-41CA-808F-B88E4793561F.png","Thumbnail Image")</f>
      </c>
      <c r="V976" s="0">
        <f>HYPERLINK("https://ec-qa-storage.kldlms.com/ItemGallery/08DCFA78-7C90-4C67-8358-39D31E028F03/E754F192-D329-4C60-AA29-BF871DFAF21C.png","Gallery Image ")</f>
      </c>
      <c r="W976" s="0" t="s">
        <v>22</v>
      </c>
      <c r="X976" s="0" t="s">
        <v>3911</v>
      </c>
    </row>
    <row r="977">
      <c r="A977" s="0" t="s">
        <v>3912</v>
      </c>
      <c r="B977" s="0" t="s">
        <v>3912</v>
      </c>
      <c r="C977" s="0" t="s">
        <v>3913</v>
      </c>
      <c r="D977" s="0" t="s">
        <v>27</v>
      </c>
      <c r="E977" s="0" t="s">
        <v>3583</v>
      </c>
      <c r="F977" s="0" t="s">
        <v>3120</v>
      </c>
      <c r="G977" s="0" t="s">
        <v>3912</v>
      </c>
      <c r="H977" s="0" t="s">
        <v>3912</v>
      </c>
      <c r="I977" s="0" t="s">
        <v>615</v>
      </c>
      <c r="J977" s="0" t="s">
        <v>615</v>
      </c>
      <c r="K977" s="0" t="s">
        <v>1914</v>
      </c>
      <c r="L977" s="0" t="s">
        <v>32</v>
      </c>
      <c r="M977" s="0" t="s">
        <v>33</v>
      </c>
      <c r="N977" s="0" t="s">
        <v>1283</v>
      </c>
      <c r="O977" s="0" t="s">
        <v>35</v>
      </c>
      <c r="P977" s="0" t="s">
        <v>39</v>
      </c>
      <c r="Q977" s="0" t="s">
        <v>1916</v>
      </c>
      <c r="R977" s="0" t="s">
        <v>3913</v>
      </c>
      <c r="S977" s="0" t="s">
        <v>1283</v>
      </c>
      <c r="T977" s="0">
        <f>HYPERLINK("https://storage.sslt.ae/ItemVariation/08DCFA78-7CEC-4930-8030-ADAFF4674D7A/FDCB19C1-81B2-47AF-A284-3593D76A5100.png","Variant Image")</f>
      </c>
      <c r="U977" s="0">
        <f>HYPERLINK("https://ec-qa-storage.kldlms.com/Item/08DCFA78-7CEC-4930-8030-ADAFF4674D7A/9D318B9A-EAF7-486B-9D02-D88D29593F58.png","Thumbnail Image")</f>
      </c>
      <c r="V977" s="0">
        <f>HYPERLINK("https://ec-qa-storage.kldlms.com/ItemGallery/08DCFA78-7CEC-4930-8030-ADAFF4674D7A/D35FF30E-C135-4FE0-9771-6EDFC8BABD54.png","Gallery Image ")</f>
      </c>
      <c r="W977" s="0" t="s">
        <v>22</v>
      </c>
      <c r="X977" s="0" t="s">
        <v>3914</v>
      </c>
    </row>
    <row r="978">
      <c r="A978" s="0" t="s">
        <v>3915</v>
      </c>
      <c r="B978" s="0" t="s">
        <v>3915</v>
      </c>
      <c r="C978" s="0" t="s">
        <v>3916</v>
      </c>
      <c r="D978" s="0" t="s">
        <v>27</v>
      </c>
      <c r="E978" s="0" t="s">
        <v>3583</v>
      </c>
      <c r="F978" s="0" t="s">
        <v>3120</v>
      </c>
      <c r="G978" s="0" t="s">
        <v>3915</v>
      </c>
      <c r="H978" s="0" t="s">
        <v>3915</v>
      </c>
      <c r="I978" s="0" t="s">
        <v>615</v>
      </c>
      <c r="J978" s="0" t="s">
        <v>615</v>
      </c>
      <c r="K978" s="0" t="s">
        <v>3711</v>
      </c>
      <c r="L978" s="0" t="s">
        <v>32</v>
      </c>
      <c r="M978" s="0" t="s">
        <v>33</v>
      </c>
      <c r="N978" s="0" t="s">
        <v>269</v>
      </c>
      <c r="O978" s="0" t="s">
        <v>35</v>
      </c>
      <c r="P978" s="0" t="s">
        <v>39</v>
      </c>
      <c r="Q978" s="0" t="s">
        <v>3712</v>
      </c>
      <c r="R978" s="0" t="s">
        <v>3916</v>
      </c>
      <c r="S978" s="0" t="s">
        <v>269</v>
      </c>
      <c r="T978" s="0">
        <f>HYPERLINK("https://storage.sslt.ae/ItemVariation/08DCFA78-7D48-4253-8EC1-A03DC244EE06/D3D5DD0A-9A7D-4459-B997-295B78A7C0B4.png","Variant Image")</f>
      </c>
      <c r="U978" s="0">
        <f>HYPERLINK("https://ec-qa-storage.kldlms.com/Item/08DCFA78-7D48-4253-8EC1-A03DC244EE06/A9781F86-EC9B-4C69-B70F-D3CA52789954.png","Thumbnail Image")</f>
      </c>
      <c r="V978" s="0">
        <f>HYPERLINK("https://ec-qa-storage.kldlms.com/ItemGallery/08DCFA78-7D48-4253-8EC1-A03DC244EE06/1B1DA5D2-573A-481E-8D46-935FCE68AF3A.png","Gallery Image ")</f>
      </c>
      <c r="W978" s="0" t="s">
        <v>22</v>
      </c>
      <c r="X978" s="0" t="s">
        <v>3917</v>
      </c>
    </row>
    <row r="979">
      <c r="A979" s="0" t="s">
        <v>3918</v>
      </c>
      <c r="B979" s="0" t="s">
        <v>3918</v>
      </c>
      <c r="C979" s="0" t="s">
        <v>3919</v>
      </c>
      <c r="D979" s="0" t="s">
        <v>27</v>
      </c>
      <c r="E979" s="0" t="s">
        <v>3583</v>
      </c>
      <c r="F979" s="0" t="s">
        <v>3120</v>
      </c>
      <c r="G979" s="0" t="s">
        <v>3918</v>
      </c>
      <c r="H979" s="0" t="s">
        <v>3918</v>
      </c>
      <c r="I979" s="0" t="s">
        <v>615</v>
      </c>
      <c r="J979" s="0" t="s">
        <v>615</v>
      </c>
      <c r="K979" s="0" t="s">
        <v>3711</v>
      </c>
      <c r="L979" s="0" t="s">
        <v>32</v>
      </c>
      <c r="M979" s="0" t="s">
        <v>33</v>
      </c>
      <c r="N979" s="0" t="s">
        <v>269</v>
      </c>
      <c r="O979" s="0" t="s">
        <v>35</v>
      </c>
      <c r="P979" s="0" t="s">
        <v>39</v>
      </c>
      <c r="Q979" s="0" t="s">
        <v>3712</v>
      </c>
      <c r="R979" s="0" t="s">
        <v>3919</v>
      </c>
      <c r="S979" s="0" t="s">
        <v>269</v>
      </c>
      <c r="T979" s="0">
        <f>HYPERLINK("https://storage.sslt.ae/ItemVariation/08DCFA78-7DA5-4694-8042-5215D953BC95/B22B8468-E8B1-4796-800B-0973EA32FEDF.png","Variant Image")</f>
      </c>
      <c r="U979" s="0">
        <f>HYPERLINK("https://ec-qa-storage.kldlms.com/Item/08DCFA78-7DA5-4694-8042-5215D953BC95/1F1126E3-E723-49E8-ACBE-F5D9D9809D99.png","Thumbnail Image")</f>
      </c>
      <c r="V979" s="0">
        <f>HYPERLINK("https://ec-qa-storage.kldlms.com/ItemGallery/08DCFA78-7DA5-4694-8042-5215D953BC95/A9617476-ADBB-4321-B132-06A4256D5C8F.png","Gallery Image ")</f>
      </c>
      <c r="W979" s="0" t="s">
        <v>22</v>
      </c>
      <c r="X979" s="0" t="s">
        <v>3920</v>
      </c>
    </row>
    <row r="980">
      <c r="A980" s="0" t="s">
        <v>3921</v>
      </c>
      <c r="B980" s="0" t="s">
        <v>3921</v>
      </c>
      <c r="C980" s="0" t="s">
        <v>3922</v>
      </c>
      <c r="D980" s="0" t="s">
        <v>27</v>
      </c>
      <c r="E980" s="0" t="s">
        <v>3583</v>
      </c>
      <c r="F980" s="0" t="s">
        <v>3120</v>
      </c>
      <c r="G980" s="0" t="s">
        <v>3921</v>
      </c>
      <c r="H980" s="0" t="s">
        <v>3921</v>
      </c>
      <c r="I980" s="0" t="s">
        <v>615</v>
      </c>
      <c r="J980" s="0" t="s">
        <v>615</v>
      </c>
      <c r="K980" s="0" t="s">
        <v>3711</v>
      </c>
      <c r="L980" s="0" t="s">
        <v>32</v>
      </c>
      <c r="M980" s="0" t="s">
        <v>33</v>
      </c>
      <c r="N980" s="0" t="s">
        <v>851</v>
      </c>
      <c r="O980" s="0" t="s">
        <v>35</v>
      </c>
      <c r="P980" s="0" t="s">
        <v>39</v>
      </c>
      <c r="Q980" s="0" t="s">
        <v>3712</v>
      </c>
      <c r="R980" s="0" t="s">
        <v>3922</v>
      </c>
      <c r="S980" s="0" t="s">
        <v>851</v>
      </c>
      <c r="T980" s="0">
        <f>HYPERLINK("https://storage.sslt.ae/ItemVariation/08DCFA78-7E00-4AF6-8D44-C049467EAD0B/B38EB543-2CE7-4B02-9011-8C7B0B12421A.png","Variant Image")</f>
      </c>
      <c r="U980" s="0">
        <f>HYPERLINK("https://ec-qa-storage.kldlms.com/Item/08DCFA78-7E00-4AF6-8D44-C049467EAD0B/E9667B3F-F9EB-448A-9996-0E0E32E40052.png","Thumbnail Image")</f>
      </c>
      <c r="V980" s="0">
        <f>HYPERLINK("https://ec-qa-storage.kldlms.com/ItemGallery/08DCFA78-7E00-4AF6-8D44-C049467EAD0B/2BD60DF2-57F8-445E-8EDA-D0B5B2AB4567.png","Gallery Image ")</f>
      </c>
      <c r="W980" s="0" t="s">
        <v>22</v>
      </c>
      <c r="X980" s="0" t="s">
        <v>3923</v>
      </c>
    </row>
    <row r="981">
      <c r="A981" s="0" t="s">
        <v>3924</v>
      </c>
      <c r="B981" s="0" t="s">
        <v>3924</v>
      </c>
      <c r="C981" s="0" t="s">
        <v>3925</v>
      </c>
      <c r="D981" s="0" t="s">
        <v>27</v>
      </c>
      <c r="E981" s="0" t="s">
        <v>3583</v>
      </c>
      <c r="F981" s="0" t="s">
        <v>3120</v>
      </c>
      <c r="G981" s="0" t="s">
        <v>3924</v>
      </c>
      <c r="H981" s="0" t="s">
        <v>3924</v>
      </c>
      <c r="I981" s="0" t="s">
        <v>615</v>
      </c>
      <c r="J981" s="0" t="s">
        <v>615</v>
      </c>
      <c r="K981" s="0" t="s">
        <v>3711</v>
      </c>
      <c r="L981" s="0" t="s">
        <v>32</v>
      </c>
      <c r="M981" s="0" t="s">
        <v>33</v>
      </c>
      <c r="N981" s="0" t="s">
        <v>83</v>
      </c>
      <c r="O981" s="0" t="s">
        <v>35</v>
      </c>
      <c r="P981" s="0" t="s">
        <v>39</v>
      </c>
      <c r="Q981" s="0" t="s">
        <v>3712</v>
      </c>
      <c r="R981" s="0" t="s">
        <v>3925</v>
      </c>
      <c r="S981" s="0" t="s">
        <v>83</v>
      </c>
      <c r="T981" s="0">
        <f>HYPERLINK("https://storage.sslt.ae/ItemVariation/08DCFA78-7E5C-4DA0-8DA6-DE4F675E0278/304589D4-B56C-48FB-8FED-DF8142661477.png","Variant Image")</f>
      </c>
      <c r="U981" s="0">
        <f>HYPERLINK("https://ec-qa-storage.kldlms.com/Item/08DCFA78-7E5C-4DA0-8DA6-DE4F675E0278/F63257C7-3882-4E86-ADB0-BC9C1D7E1FC3.png","Thumbnail Image")</f>
      </c>
      <c r="V981" s="0">
        <f>HYPERLINK("https://ec-qa-storage.kldlms.com/ItemGallery/08DCFA78-7E5C-4DA0-8DA6-DE4F675E0278/FC2975C6-869B-4BC2-9F49-DB6AD9913B21.png","Gallery Image ")</f>
      </c>
      <c r="W981" s="0" t="s">
        <v>22</v>
      </c>
      <c r="X981" s="0" t="s">
        <v>3926</v>
      </c>
    </row>
    <row r="982">
      <c r="A982" s="0" t="s">
        <v>3927</v>
      </c>
      <c r="B982" s="0" t="s">
        <v>3927</v>
      </c>
      <c r="C982" s="0" t="s">
        <v>3928</v>
      </c>
      <c r="D982" s="0" t="s">
        <v>27</v>
      </c>
      <c r="E982" s="0" t="s">
        <v>3583</v>
      </c>
      <c r="F982" s="0" t="s">
        <v>3120</v>
      </c>
      <c r="G982" s="0" t="s">
        <v>3927</v>
      </c>
      <c r="H982" s="0" t="s">
        <v>3927</v>
      </c>
      <c r="I982" s="0" t="s">
        <v>615</v>
      </c>
      <c r="J982" s="0" t="s">
        <v>615</v>
      </c>
      <c r="K982" s="0" t="s">
        <v>293</v>
      </c>
      <c r="L982" s="0" t="s">
        <v>32</v>
      </c>
      <c r="M982" s="0" t="s">
        <v>33</v>
      </c>
      <c r="N982" s="0" t="s">
        <v>409</v>
      </c>
      <c r="O982" s="0" t="s">
        <v>35</v>
      </c>
      <c r="P982" s="0" t="s">
        <v>39</v>
      </c>
      <c r="Q982" s="0" t="s">
        <v>3929</v>
      </c>
      <c r="R982" s="0" t="s">
        <v>3928</v>
      </c>
      <c r="S982" s="0" t="s">
        <v>409</v>
      </c>
      <c r="T982" s="0">
        <f>HYPERLINK("https://storage.sslt.ae/ItemVariation/08DCFA78-7F32-4833-8A65-B7874C6E0668/E683AFB2-6DC6-46A4-B9BF-76759239CB86.png","Variant Image")</f>
      </c>
      <c r="U982" s="0">
        <f>HYPERLINK("https://ec-qa-storage.kldlms.com/Item/08DCFA78-7F32-4833-8A65-B7874C6E0668/4D60D321-37CC-4115-9EC2-4C0D4EC111D1.png","Thumbnail Image")</f>
      </c>
      <c r="V982" s="0">
        <f>HYPERLINK("https://ec-qa-storage.kldlms.com/ItemGallery/08DCFA78-7F32-4833-8A65-B7874C6E0668/7E0E6463-3FDD-43AA-AB47-25A76FA206AF.png","Gallery Image ")</f>
      </c>
      <c r="W982" s="0" t="s">
        <v>22</v>
      </c>
      <c r="X982" s="0" t="s">
        <v>3930</v>
      </c>
    </row>
    <row r="983">
      <c r="A983" s="0" t="s">
        <v>3931</v>
      </c>
      <c r="B983" s="0" t="s">
        <v>3931</v>
      </c>
      <c r="C983" s="0" t="s">
        <v>3932</v>
      </c>
      <c r="D983" s="0" t="s">
        <v>27</v>
      </c>
      <c r="E983" s="0" t="s">
        <v>3583</v>
      </c>
      <c r="F983" s="0" t="s">
        <v>3120</v>
      </c>
      <c r="G983" s="0" t="s">
        <v>3931</v>
      </c>
      <c r="H983" s="0" t="s">
        <v>3931</v>
      </c>
      <c r="I983" s="0" t="s">
        <v>615</v>
      </c>
      <c r="J983" s="0" t="s">
        <v>615</v>
      </c>
      <c r="K983" s="0" t="s">
        <v>3827</v>
      </c>
      <c r="L983" s="0" t="s">
        <v>32</v>
      </c>
      <c r="M983" s="0" t="s">
        <v>33</v>
      </c>
      <c r="N983" s="0" t="s">
        <v>709</v>
      </c>
      <c r="O983" s="0" t="s">
        <v>35</v>
      </c>
      <c r="P983" s="0" t="s">
        <v>39</v>
      </c>
      <c r="Q983" s="0" t="s">
        <v>3828</v>
      </c>
      <c r="R983" s="0" t="s">
        <v>3932</v>
      </c>
      <c r="S983" s="0" t="s">
        <v>709</v>
      </c>
      <c r="T983" s="0">
        <f>HYPERLINK("https://storage.sslt.ae/ItemVariation/08DCFA78-7F8F-418F-8F94-30B4A7A007B1/43BC5C98-8343-4158-9877-53F5FEE81965.png","Variant Image")</f>
      </c>
      <c r="U983" s="0">
        <f>HYPERLINK("https://ec-qa-storage.kldlms.com/Item/08DCFA78-7F8F-418F-8F94-30B4A7A007B1/EF173D43-9F43-4769-BB5E-7F2CB4472618.png","Thumbnail Image")</f>
      </c>
      <c r="V983" s="0">
        <f>HYPERLINK("https://ec-qa-storage.kldlms.com/ItemGallery/08DCFA78-7F8F-418F-8F94-30B4A7A007B1/E191ADB1-680A-441C-BDC2-8811FEA023C6.png","Gallery Image ")</f>
      </c>
      <c r="W983" s="0" t="s">
        <v>22</v>
      </c>
      <c r="X983" s="0" t="s">
        <v>3933</v>
      </c>
    </row>
    <row r="984">
      <c r="A984" s="0" t="s">
        <v>3934</v>
      </c>
      <c r="B984" s="0" t="s">
        <v>3934</v>
      </c>
      <c r="C984" s="0" t="s">
        <v>3935</v>
      </c>
      <c r="D984" s="0" t="s">
        <v>27</v>
      </c>
      <c r="E984" s="0" t="s">
        <v>3583</v>
      </c>
      <c r="F984" s="0" t="s">
        <v>3120</v>
      </c>
      <c r="G984" s="0" t="s">
        <v>3934</v>
      </c>
      <c r="H984" s="0" t="s">
        <v>3934</v>
      </c>
      <c r="I984" s="0" t="s">
        <v>615</v>
      </c>
      <c r="J984" s="0" t="s">
        <v>615</v>
      </c>
      <c r="K984" s="0" t="s">
        <v>3936</v>
      </c>
      <c r="L984" s="0" t="s">
        <v>32</v>
      </c>
      <c r="M984" s="0" t="s">
        <v>33</v>
      </c>
      <c r="N984" s="0" t="s">
        <v>647</v>
      </c>
      <c r="O984" s="0" t="s">
        <v>35</v>
      </c>
      <c r="P984" s="0" t="s">
        <v>39</v>
      </c>
      <c r="Q984" s="0" t="s">
        <v>3937</v>
      </c>
      <c r="R984" s="0" t="s">
        <v>3935</v>
      </c>
      <c r="S984" s="0" t="s">
        <v>647</v>
      </c>
      <c r="T984" s="0">
        <f>HYPERLINK("https://storage.sslt.ae/ItemVariation/08DCFA78-7FEA-4EEA-8ECB-4A4921412054/2C614CAA-A2ED-4366-A094-3F4936A0386A.png","Variant Image")</f>
      </c>
      <c r="U984" s="0">
        <f>HYPERLINK("https://ec-qa-storage.kldlms.com/Item/08DCFA78-7FEA-4EEA-8ECB-4A4921412054/A871FFB4-12C8-4AD8-BECE-5286C84B0916.png","Thumbnail Image")</f>
      </c>
      <c r="V984" s="0">
        <f>HYPERLINK("https://ec-qa-storage.kldlms.com/ItemGallery/08DCFA78-7FEA-4EEA-8ECB-4A4921412054/B893FAD7-6874-4E82-BDF9-D7135E4D875A.png","Gallery Image ")</f>
      </c>
      <c r="W984" s="0" t="s">
        <v>22</v>
      </c>
      <c r="X984" s="0" t="s">
        <v>3938</v>
      </c>
    </row>
    <row r="985">
      <c r="A985" s="0" t="s">
        <v>3939</v>
      </c>
      <c r="B985" s="0" t="s">
        <v>3939</v>
      </c>
      <c r="C985" s="0" t="s">
        <v>3940</v>
      </c>
      <c r="D985" s="0" t="s">
        <v>27</v>
      </c>
      <c r="E985" s="0" t="s">
        <v>3583</v>
      </c>
      <c r="F985" s="0" t="s">
        <v>3120</v>
      </c>
      <c r="G985" s="0" t="s">
        <v>3939</v>
      </c>
      <c r="H985" s="0" t="s">
        <v>3939</v>
      </c>
      <c r="I985" s="0" t="s">
        <v>615</v>
      </c>
      <c r="J985" s="0" t="s">
        <v>615</v>
      </c>
      <c r="K985" s="0" t="s">
        <v>3936</v>
      </c>
      <c r="L985" s="0" t="s">
        <v>32</v>
      </c>
      <c r="M985" s="0" t="s">
        <v>33</v>
      </c>
      <c r="N985" s="0" t="s">
        <v>3497</v>
      </c>
      <c r="O985" s="0" t="s">
        <v>35</v>
      </c>
      <c r="P985" s="0" t="s">
        <v>39</v>
      </c>
      <c r="Q985" s="0" t="s">
        <v>3937</v>
      </c>
      <c r="R985" s="0" t="s">
        <v>3940</v>
      </c>
      <c r="S985" s="0" t="s">
        <v>3497</v>
      </c>
      <c r="T985" s="0">
        <f>HYPERLINK("https://storage.sslt.ae/ItemVariation/08DCFA78-8046-4D83-89EF-9480E0423B91/8E303B94-ED95-4504-8C23-B16EE98536B9.png","Variant Image")</f>
      </c>
      <c r="U985" s="0">
        <f>HYPERLINK("https://ec-qa-storage.kldlms.com/Item/08DCFA78-8046-4D83-89EF-9480E0423B91/AB522D27-ADF7-4F10-90F7-0721F7D53C77.png","Thumbnail Image")</f>
      </c>
      <c r="V985" s="0">
        <f>HYPERLINK("https://ec-qa-storage.kldlms.com/ItemGallery/08DCFA78-8046-4D83-89EF-9480E0423B91/7D93A672-4CF5-4465-8C05-B23BDD68BA23.png","Gallery Image ")</f>
      </c>
      <c r="W985" s="0" t="s">
        <v>22</v>
      </c>
      <c r="X985" s="0" t="s">
        <v>3941</v>
      </c>
    </row>
    <row r="986">
      <c r="A986" s="0" t="s">
        <v>3942</v>
      </c>
      <c r="B986" s="0" t="s">
        <v>3942</v>
      </c>
      <c r="C986" s="0" t="s">
        <v>3943</v>
      </c>
      <c r="D986" s="0" t="s">
        <v>27</v>
      </c>
      <c r="E986" s="0" t="s">
        <v>3944</v>
      </c>
      <c r="F986" s="0" t="s">
        <v>3120</v>
      </c>
      <c r="G986" s="0" t="s">
        <v>3942</v>
      </c>
      <c r="H986" s="0" t="s">
        <v>3942</v>
      </c>
      <c r="I986" s="0" t="s">
        <v>615</v>
      </c>
      <c r="J986" s="0" t="s">
        <v>615</v>
      </c>
      <c r="K986" s="0" t="s">
        <v>3701</v>
      </c>
      <c r="L986" s="0" t="s">
        <v>32</v>
      </c>
      <c r="M986" s="0" t="s">
        <v>33</v>
      </c>
      <c r="N986" s="0" t="s">
        <v>1119</v>
      </c>
      <c r="O986" s="0" t="s">
        <v>35</v>
      </c>
      <c r="P986" s="0" t="s">
        <v>39</v>
      </c>
      <c r="Q986" s="0" t="s">
        <v>3702</v>
      </c>
      <c r="R986" s="0" t="s">
        <v>3943</v>
      </c>
      <c r="S986" s="0" t="s">
        <v>1119</v>
      </c>
      <c r="T986" s="0">
        <f>HYPERLINK("https://storage.sslt.ae/ItemVariation/08DCFA78-80A2-476C-8BCB-3B7EA88960A4/5D35DC7F-20B1-46F5-A7F8-7ED1B84524A8.png","Variant Image")</f>
      </c>
      <c r="U986" s="0">
        <f>HYPERLINK("https://ec-qa-storage.kldlms.com/Item/08DCFA78-80A2-476C-8BCB-3B7EA88960A4/9F3FFF81-5BE0-4B53-A507-DBCB662F2FB9.png","Thumbnail Image")</f>
      </c>
      <c r="V986" s="0">
        <f>HYPERLINK("https://ec-qa-storage.kldlms.com/ItemGallery/08DCFA78-80A2-476C-8BCB-3B7EA88960A4/51A168A1-FA83-4250-A675-28D230808FBB.png","Gallery Image ")</f>
      </c>
      <c r="W986" s="0" t="s">
        <v>22</v>
      </c>
      <c r="X986" s="0" t="s">
        <v>3945</v>
      </c>
    </row>
    <row r="987">
      <c r="A987" s="0" t="s">
        <v>3946</v>
      </c>
      <c r="B987" s="0" t="s">
        <v>3946</v>
      </c>
      <c r="C987" s="0" t="s">
        <v>3947</v>
      </c>
      <c r="D987" s="0" t="s">
        <v>27</v>
      </c>
      <c r="E987" s="0" t="s">
        <v>3583</v>
      </c>
      <c r="F987" s="0" t="s">
        <v>3120</v>
      </c>
      <c r="G987" s="0" t="s">
        <v>3946</v>
      </c>
      <c r="H987" s="0" t="s">
        <v>3946</v>
      </c>
      <c r="I987" s="0" t="s">
        <v>615</v>
      </c>
      <c r="J987" s="0" t="s">
        <v>615</v>
      </c>
      <c r="K987" s="0" t="s">
        <v>3948</v>
      </c>
      <c r="L987" s="0" t="s">
        <v>32</v>
      </c>
      <c r="M987" s="0" t="s">
        <v>33</v>
      </c>
      <c r="N987" s="0" t="s">
        <v>3823</v>
      </c>
      <c r="O987" s="0" t="s">
        <v>35</v>
      </c>
      <c r="P987" s="0" t="s">
        <v>39</v>
      </c>
      <c r="Q987" s="0" t="s">
        <v>3949</v>
      </c>
      <c r="R987" s="0" t="s">
        <v>3947</v>
      </c>
      <c r="S987" s="0" t="s">
        <v>3823</v>
      </c>
      <c r="T987" s="0">
        <f>HYPERLINK("https://storage.sslt.ae/ItemVariation/08DCFA78-8102-492F-8940-83D94738FDBF/15942BD3-3367-46F1-ACC8-010A05689360.png","Variant Image")</f>
      </c>
      <c r="U987" s="0">
        <f>HYPERLINK("https://ec-qa-storage.kldlms.com/Item/08DCFA78-8102-492F-8940-83D94738FDBF/707F8492-26BB-4A90-A02E-61F9BC8C6AFF.png","Thumbnail Image")</f>
      </c>
      <c r="V987" s="0">
        <f>HYPERLINK("https://ec-qa-storage.kldlms.com/ItemGallery/08DCFA78-8102-492F-8940-83D94738FDBF/C7DCADD8-C1C3-41A2-AF3C-66C6EAB7F126.png","Gallery Image ")</f>
      </c>
      <c r="W987" s="0" t="s">
        <v>22</v>
      </c>
      <c r="X987" s="0" t="s">
        <v>3950</v>
      </c>
    </row>
    <row r="988">
      <c r="A988" s="0" t="s">
        <v>3951</v>
      </c>
      <c r="B988" s="0" t="s">
        <v>3951</v>
      </c>
      <c r="C988" s="0" t="s">
        <v>3952</v>
      </c>
      <c r="D988" s="0" t="s">
        <v>27</v>
      </c>
      <c r="E988" s="0" t="s">
        <v>3583</v>
      </c>
      <c r="F988" s="0" t="s">
        <v>3120</v>
      </c>
      <c r="G988" s="0" t="s">
        <v>3951</v>
      </c>
      <c r="H988" s="0" t="s">
        <v>3951</v>
      </c>
      <c r="I988" s="0" t="s">
        <v>615</v>
      </c>
      <c r="J988" s="0" t="s">
        <v>615</v>
      </c>
      <c r="K988" s="0" t="s">
        <v>680</v>
      </c>
      <c r="L988" s="0" t="s">
        <v>32</v>
      </c>
      <c r="M988" s="0" t="s">
        <v>33</v>
      </c>
      <c r="N988" s="0" t="s">
        <v>3953</v>
      </c>
      <c r="O988" s="0" t="s">
        <v>35</v>
      </c>
      <c r="P988" s="0" t="s">
        <v>39</v>
      </c>
      <c r="Q988" s="0" t="s">
        <v>3954</v>
      </c>
      <c r="R988" s="0" t="s">
        <v>3952</v>
      </c>
      <c r="S988" s="0" t="s">
        <v>3953</v>
      </c>
      <c r="T988" s="0">
        <f>HYPERLINK("https://storage.sslt.ae/ItemVariation/08DCFA78-8159-406E-862C-91FB4B668469/31841039-6C64-46A8-9970-D45A76382872.png","Variant Image")</f>
      </c>
      <c r="U988" s="0">
        <f>HYPERLINK("https://ec-qa-storage.kldlms.com/Item/08DCFA78-8159-406E-862C-91FB4B668469/C88DC8FB-6F74-414D-B106-11119DC3C71C.png","Thumbnail Image")</f>
      </c>
      <c r="V988" s="0">
        <f>HYPERLINK("https://ec-qa-storage.kldlms.com/ItemGallery/08DCFA78-8159-406E-862C-91FB4B668469/B135F1ED-CD65-4BC3-BAE6-0F6AF3B6AAD7.png","Gallery Image ")</f>
      </c>
      <c r="W988" s="0" t="s">
        <v>22</v>
      </c>
      <c r="X988" s="0" t="s">
        <v>3955</v>
      </c>
    </row>
    <row r="989">
      <c r="A989" s="0" t="s">
        <v>3956</v>
      </c>
      <c r="B989" s="0" t="s">
        <v>3956</v>
      </c>
      <c r="C989" s="0" t="s">
        <v>3957</v>
      </c>
      <c r="D989" s="0" t="s">
        <v>27</v>
      </c>
      <c r="E989" s="0" t="s">
        <v>3583</v>
      </c>
      <c r="F989" s="0" t="s">
        <v>3120</v>
      </c>
      <c r="G989" s="0" t="s">
        <v>3956</v>
      </c>
      <c r="H989" s="0" t="s">
        <v>3956</v>
      </c>
      <c r="I989" s="0" t="s">
        <v>615</v>
      </c>
      <c r="J989" s="0" t="s">
        <v>615</v>
      </c>
      <c r="K989" s="0" t="s">
        <v>243</v>
      </c>
      <c r="L989" s="0" t="s">
        <v>32</v>
      </c>
      <c r="M989" s="0" t="s">
        <v>33</v>
      </c>
      <c r="N989" s="0" t="s">
        <v>3958</v>
      </c>
      <c r="O989" s="0" t="s">
        <v>35</v>
      </c>
      <c r="P989" s="0" t="s">
        <v>39</v>
      </c>
      <c r="Q989" s="0" t="s">
        <v>3959</v>
      </c>
      <c r="R989" s="0" t="s">
        <v>3957</v>
      </c>
      <c r="S989" s="0" t="s">
        <v>3958</v>
      </c>
      <c r="T989" s="0">
        <f>HYPERLINK("https://storage.sslt.ae/ItemVariation/08DCFA78-81B5-4828-8398-FC12B94383AD/361EC7F0-B385-4A72-A1A2-F2FA35F91E21.png","Variant Image")</f>
      </c>
      <c r="U989" s="0">
        <f>HYPERLINK("https://ec-qa-storage.kldlms.com/Item/08DCFA78-81B5-4828-8398-FC12B94383AD/5D1E9603-47F4-453E-8706-F55898685107.png","Thumbnail Image")</f>
      </c>
      <c r="V989" s="0">
        <f>HYPERLINK("https://ec-qa-storage.kldlms.com/ItemGallery/08DCFA78-81B5-4828-8398-FC12B94383AD/14B2202D-744A-4672-AC0E-86641F3EC435.png","Gallery Image ")</f>
      </c>
      <c r="W989" s="0" t="s">
        <v>22</v>
      </c>
      <c r="X989" s="0" t="s">
        <v>3960</v>
      </c>
    </row>
    <row r="990">
      <c r="A990" s="0" t="s">
        <v>3961</v>
      </c>
      <c r="B990" s="0" t="s">
        <v>3961</v>
      </c>
      <c r="C990" s="0" t="s">
        <v>3962</v>
      </c>
      <c r="D990" s="0" t="s">
        <v>27</v>
      </c>
      <c r="E990" s="0" t="s">
        <v>3583</v>
      </c>
      <c r="F990" s="0" t="s">
        <v>3120</v>
      </c>
      <c r="G990" s="0" t="s">
        <v>3961</v>
      </c>
      <c r="H990" s="0" t="s">
        <v>3961</v>
      </c>
      <c r="I990" s="0" t="s">
        <v>615</v>
      </c>
      <c r="J990" s="0" t="s">
        <v>615</v>
      </c>
      <c r="K990" s="0" t="s">
        <v>140</v>
      </c>
      <c r="L990" s="0" t="s">
        <v>32</v>
      </c>
      <c r="M990" s="0" t="s">
        <v>33</v>
      </c>
      <c r="N990" s="0" t="s">
        <v>3963</v>
      </c>
      <c r="O990" s="0" t="s">
        <v>35</v>
      </c>
      <c r="P990" s="0" t="s">
        <v>39</v>
      </c>
      <c r="Q990" s="0" t="s">
        <v>3590</v>
      </c>
      <c r="R990" s="0" t="s">
        <v>3962</v>
      </c>
      <c r="S990" s="0" t="s">
        <v>3963</v>
      </c>
      <c r="T990" s="0">
        <f>HYPERLINK("https://storage.sslt.ae/ItemVariation/08DCFA78-8211-4A41-80A1-6DC20F6D0DB5/F705882C-2570-4FD3-ADC9-52633DF1E254.png","Variant Image")</f>
      </c>
      <c r="U990" s="0">
        <f>HYPERLINK("https://ec-qa-storage.kldlms.com/Item/08DCFA78-8211-4A41-80A1-6DC20F6D0DB5/482C084A-4756-4A10-9236-CC6E63A76D8F.png","Thumbnail Image")</f>
      </c>
      <c r="V990" s="0">
        <f>HYPERLINK("https://ec-qa-storage.kldlms.com/ItemGallery/08DCFA78-8211-4A41-80A1-6DC20F6D0DB5/7FBECB14-5EB3-43C4-B2AD-4E4FA82972DD.png","Gallery Image ")</f>
      </c>
      <c r="W990" s="0" t="s">
        <v>22</v>
      </c>
      <c r="X990" s="0" t="s">
        <v>3964</v>
      </c>
    </row>
    <row r="991">
      <c r="A991" s="0" t="s">
        <v>3965</v>
      </c>
      <c r="B991" s="0" t="s">
        <v>3965</v>
      </c>
      <c r="C991" s="0" t="s">
        <v>3966</v>
      </c>
      <c r="D991" s="0" t="s">
        <v>27</v>
      </c>
      <c r="E991" s="0" t="s">
        <v>3583</v>
      </c>
      <c r="F991" s="0" t="s">
        <v>3120</v>
      </c>
      <c r="G991" s="0" t="s">
        <v>3965</v>
      </c>
      <c r="H991" s="0" t="s">
        <v>3965</v>
      </c>
      <c r="I991" s="0" t="s">
        <v>615</v>
      </c>
      <c r="J991" s="0" t="s">
        <v>615</v>
      </c>
      <c r="K991" s="0" t="s">
        <v>3967</v>
      </c>
      <c r="L991" s="0" t="s">
        <v>32</v>
      </c>
      <c r="M991" s="0" t="s">
        <v>33</v>
      </c>
      <c r="N991" s="0" t="s">
        <v>2981</v>
      </c>
      <c r="O991" s="0" t="s">
        <v>35</v>
      </c>
      <c r="P991" s="0" t="s">
        <v>39</v>
      </c>
      <c r="Q991" s="0" t="s">
        <v>3968</v>
      </c>
      <c r="R991" s="0" t="s">
        <v>3966</v>
      </c>
      <c r="S991" s="0" t="s">
        <v>2981</v>
      </c>
      <c r="T991" s="0">
        <f>HYPERLINK("https://storage.sslt.ae/ItemVariation/08DCFA78-826E-481C-8765-A5B841169F49/5B944618-FAB3-4389-A6FB-6B4BD4E847B9.png","Variant Image")</f>
      </c>
      <c r="U991" s="0">
        <f>HYPERLINK("https://ec-qa-storage.kldlms.com/Item/08DCFA78-826E-481C-8765-A5B841169F49/9A056036-B140-4025-9AD5-080EC31A4499.png","Thumbnail Image")</f>
      </c>
      <c r="V991" s="0">
        <f>HYPERLINK("https://ec-qa-storage.kldlms.com/ItemGallery/08DCFA78-826E-481C-8765-A5B841169F49/39ADB1C9-EB7C-4D3B-A1DC-CF725DEC531F.png","Gallery Image ")</f>
      </c>
      <c r="W991" s="0" t="s">
        <v>22</v>
      </c>
      <c r="X991" s="0" t="s">
        <v>3969</v>
      </c>
    </row>
    <row r="992">
      <c r="A992" s="0" t="s">
        <v>3970</v>
      </c>
      <c r="B992" s="0" t="s">
        <v>3970</v>
      </c>
      <c r="C992" s="0" t="s">
        <v>3971</v>
      </c>
      <c r="D992" s="0" t="s">
        <v>27</v>
      </c>
      <c r="E992" s="0" t="s">
        <v>3583</v>
      </c>
      <c r="F992" s="0" t="s">
        <v>3120</v>
      </c>
      <c r="G992" s="0" t="s">
        <v>3970</v>
      </c>
      <c r="H992" s="0" t="s">
        <v>3970</v>
      </c>
      <c r="I992" s="0" t="s">
        <v>615</v>
      </c>
      <c r="J992" s="0" t="s">
        <v>615</v>
      </c>
      <c r="K992" s="0" t="s">
        <v>3972</v>
      </c>
      <c r="L992" s="0" t="s">
        <v>32</v>
      </c>
      <c r="M992" s="0" t="s">
        <v>33</v>
      </c>
      <c r="N992" s="0" t="s">
        <v>35</v>
      </c>
      <c r="O992" s="0" t="s">
        <v>35</v>
      </c>
      <c r="P992" s="0" t="s">
        <v>39</v>
      </c>
      <c r="Q992" s="0" t="s">
        <v>3973</v>
      </c>
      <c r="R992" s="0" t="s">
        <v>3971</v>
      </c>
      <c r="S992" s="0" t="s">
        <v>35</v>
      </c>
      <c r="T992" s="0">
        <f>HYPERLINK("https://storage.sslt.ae/ItemVariation/08DCFA78-82C9-4C54-8B3D-821BD5D6F3CF/1C63F1D7-65DD-4B65-9732-09FE85016BE5.png","Variant Image")</f>
      </c>
      <c r="U992" s="0">
        <f>HYPERLINK("https://ec-qa-storage.kldlms.com/Item/08DCFA78-82C9-4C54-8B3D-821BD5D6F3CF/D2E4371D-84B9-4246-9878-E1859202A2D4.png","Thumbnail Image")</f>
      </c>
      <c r="V992" s="0">
        <f>HYPERLINK("https://ec-qa-storage.kldlms.com/ItemGallery/08DCFA78-82C9-4C54-8B3D-821BD5D6F3CF/131C087E-BDE1-4B06-821B-D17A5F7C59CF.png","Gallery Image ")</f>
      </c>
      <c r="W992" s="0" t="s">
        <v>22</v>
      </c>
      <c r="X992" s="0" t="s">
        <v>3974</v>
      </c>
    </row>
    <row r="993">
      <c r="A993" s="0" t="s">
        <v>3975</v>
      </c>
      <c r="B993" s="0" t="s">
        <v>3975</v>
      </c>
      <c r="C993" s="0" t="s">
        <v>3976</v>
      </c>
      <c r="D993" s="0" t="s">
        <v>27</v>
      </c>
      <c r="E993" s="0" t="s">
        <v>3583</v>
      </c>
      <c r="F993" s="0" t="s">
        <v>3120</v>
      </c>
      <c r="G993" s="0" t="s">
        <v>3977</v>
      </c>
      <c r="H993" s="0" t="s">
        <v>3977</v>
      </c>
      <c r="I993" s="0" t="s">
        <v>3978</v>
      </c>
      <c r="J993" s="0" t="s">
        <v>3978</v>
      </c>
      <c r="K993" s="0" t="s">
        <v>142</v>
      </c>
      <c r="L993" s="0" t="s">
        <v>3979</v>
      </c>
      <c r="M993" s="0" t="s">
        <v>61</v>
      </c>
      <c r="N993" s="0" t="s">
        <v>3980</v>
      </c>
      <c r="O993" s="0" t="s">
        <v>35</v>
      </c>
      <c r="P993" s="0" t="s">
        <v>39</v>
      </c>
      <c r="Q993" s="0" t="s">
        <v>3981</v>
      </c>
      <c r="R993" s="0" t="s">
        <v>3976</v>
      </c>
      <c r="S993" s="0" t="s">
        <v>3980</v>
      </c>
      <c r="T993" s="0">
        <f>HYPERLINK("https://storage.sslt.ae/ItemVariation/08DCFA78-8325-49DD-86B8-39923857823B/0D7EC5AE-ABC1-4F88-8799-4D5A45A79004.png","Variant Image")</f>
      </c>
      <c r="U993" s="0">
        <f>HYPERLINK("https://ec-qa-storage.kldlms.com/Item/08DCFA78-8325-49DD-86B8-39923857823B/A25D3822-117D-4DA5-83A8-5C5ED3CBF140.png","Thumbnail Image")</f>
      </c>
      <c r="V993" s="0">
        <f>HYPERLINK("https://ec-qa-storage.kldlms.com/ItemGallery/08DCFA78-8325-49DD-86B8-39923857823B/46BF3E66-2B8A-4369-A3FA-4E192DC7417D.png","Gallery Image ")</f>
      </c>
      <c r="W993" s="0" t="s">
        <v>22</v>
      </c>
      <c r="X993" s="0" t="s">
        <v>3982</v>
      </c>
    </row>
    <row r="994">
      <c r="A994" s="0" t="s">
        <v>3983</v>
      </c>
      <c r="B994" s="0" t="s">
        <v>3983</v>
      </c>
      <c r="C994" s="0" t="s">
        <v>3984</v>
      </c>
      <c r="D994" s="0" t="s">
        <v>27</v>
      </c>
      <c r="E994" s="0" t="s">
        <v>3583</v>
      </c>
      <c r="F994" s="0" t="s">
        <v>3120</v>
      </c>
      <c r="G994" s="0" t="s">
        <v>3983</v>
      </c>
      <c r="H994" s="0" t="s">
        <v>3983</v>
      </c>
      <c r="I994" s="0" t="s">
        <v>615</v>
      </c>
      <c r="J994" s="0" t="s">
        <v>615</v>
      </c>
      <c r="K994" s="0" t="s">
        <v>254</v>
      </c>
      <c r="L994" s="0" t="s">
        <v>32</v>
      </c>
      <c r="M994" s="0" t="s">
        <v>33</v>
      </c>
      <c r="N994" s="0" t="s">
        <v>32</v>
      </c>
      <c r="O994" s="0" t="s">
        <v>35</v>
      </c>
      <c r="P994" s="0" t="s">
        <v>39</v>
      </c>
      <c r="Q994" s="0" t="s">
        <v>3985</v>
      </c>
      <c r="R994" s="0" t="s">
        <v>3984</v>
      </c>
      <c r="S994" s="0" t="s">
        <v>92</v>
      </c>
      <c r="T994" s="0">
        <f>HYPERLINK("https://storage.sslt.ae/ItemVariation/08DCFA78-8381-4A40-8FB1-276D4A8028F3/95F78E63-6342-4E45-9FF2-811F96AA8EC3.png","Variant Image")</f>
      </c>
      <c r="U994" s="0">
        <f>HYPERLINK("https://ec-qa-storage.kldlms.com/Item/08DCFA78-8381-4A40-8FB1-276D4A8028F3/F6DD090B-696D-4ED5-883B-E9DE14C89CF2.png","Thumbnail Image")</f>
      </c>
      <c r="V994" s="0">
        <f>HYPERLINK("https://ec-qa-storage.kldlms.com/ItemGallery/08DCFA78-8381-4A40-8FB1-276D4A8028F3/0E6F54A3-06D8-4FDE-88F6-E2F6FBB8E7FC.png","Gallery Image ")</f>
      </c>
      <c r="W994" s="0" t="s">
        <v>22</v>
      </c>
      <c r="X994" s="0" t="s">
        <v>3986</v>
      </c>
    </row>
    <row r="995">
      <c r="A995" s="0" t="s">
        <v>3987</v>
      </c>
      <c r="B995" s="0" t="s">
        <v>3987</v>
      </c>
      <c r="C995" s="0" t="s">
        <v>3988</v>
      </c>
      <c r="D995" s="0" t="s">
        <v>27</v>
      </c>
      <c r="E995" s="0" t="s">
        <v>3526</v>
      </c>
      <c r="F995" s="0" t="s">
        <v>3137</v>
      </c>
      <c r="G995" s="0" t="s">
        <v>3987</v>
      </c>
      <c r="H995" s="0" t="s">
        <v>3987</v>
      </c>
      <c r="I995" s="0" t="s">
        <v>3989</v>
      </c>
      <c r="J995" s="0" t="s">
        <v>3989</v>
      </c>
      <c r="K995" s="0" t="s">
        <v>32</v>
      </c>
      <c r="L995" s="0" t="s">
        <v>32</v>
      </c>
      <c r="M995" s="0" t="s">
        <v>61</v>
      </c>
      <c r="N995" s="0" t="s">
        <v>243</v>
      </c>
      <c r="O995" s="0" t="s">
        <v>35</v>
      </c>
      <c r="P995" s="0" t="s">
        <v>39</v>
      </c>
      <c r="Q995" s="0" t="s">
        <v>3990</v>
      </c>
      <c r="R995" s="0" t="s">
        <v>3988</v>
      </c>
      <c r="S995" s="0" t="s">
        <v>243</v>
      </c>
      <c r="T995" s="0">
        <f>HYPERLINK("https://storage.sslt.ae/ItemVariation/08DCFA78-AF93-4D34-8A00-38F713E3C7D6/F27CD5F9-4D91-4BCE-AD64-E977420E0623.png","Variant Image")</f>
      </c>
      <c r="U995" s="0">
        <f>HYPERLINK("https://ec-qa-storage.kldlms.com/Item/08DCFA78-AF93-4D34-8A00-38F713E3C7D6/586CD5F9-2DA7-4635-BD91-19ADE9A90823.jpg","Thumbnail Image")</f>
      </c>
      <c r="V995" s="0">
        <f>HYPERLINK("https://ec-qa-storage.kldlms.com/ItemGallery/08DCFA78-AF93-4D34-8A00-38F713E3C7D6/231795A5-68C6-4FC4-A95D-679DFC73ABBA.jpg","Gallery Image ")</f>
      </c>
      <c r="W995" s="0" t="s">
        <v>22</v>
      </c>
    </row>
    <row r="996">
      <c r="P996" s="0" t="s">
        <v>527</v>
      </c>
      <c r="Q996" s="0" t="s">
        <v>32</v>
      </c>
      <c r="R996" s="0" t="s">
        <v>3988</v>
      </c>
      <c r="S996" s="0" t="s">
        <v>32</v>
      </c>
      <c r="T996" s="0">
        <f>HYPERLINK("https://ec-qa-storage.kldlms.com/ItemVariation/08DCFA78-AF93-4D34-8A00-38F713E3C7D6/13A470A1-6F48-4167-BC7E-A3879973C18F.jpg","Variant Image")</f>
      </c>
    </row>
    <row r="997">
      <c r="A997" s="0" t="s">
        <v>3991</v>
      </c>
      <c r="B997" s="0" t="s">
        <v>3991</v>
      </c>
      <c r="C997" s="0" t="s">
        <v>3992</v>
      </c>
      <c r="D997" s="0" t="s">
        <v>27</v>
      </c>
      <c r="E997" s="0" t="s">
        <v>3526</v>
      </c>
      <c r="F997" s="0" t="s">
        <v>3137</v>
      </c>
      <c r="G997" s="0" t="s">
        <v>3991</v>
      </c>
      <c r="H997" s="0" t="s">
        <v>3991</v>
      </c>
      <c r="I997" s="0" t="s">
        <v>3993</v>
      </c>
      <c r="J997" s="0" t="s">
        <v>3993</v>
      </c>
      <c r="K997" s="0" t="s">
        <v>3994</v>
      </c>
      <c r="L997" s="0" t="s">
        <v>32</v>
      </c>
      <c r="M997" s="0" t="s">
        <v>61</v>
      </c>
      <c r="N997" s="0" t="s">
        <v>35</v>
      </c>
      <c r="O997" s="0" t="s">
        <v>35</v>
      </c>
      <c r="P997" s="0" t="s">
        <v>39</v>
      </c>
      <c r="Q997" s="0" t="s">
        <v>3995</v>
      </c>
      <c r="R997" s="0" t="s">
        <v>3992</v>
      </c>
      <c r="S997" s="0" t="s">
        <v>35</v>
      </c>
      <c r="T997" s="0">
        <f>HYPERLINK("https://storage.sslt.ae/ItemVariation/08DCFA78-AFEE-4C16-8B3D-D35447DE4E4E/DFB2DB95-8D36-4EB8-AF57-02E0C488D645.png","Variant Image")</f>
      </c>
      <c r="U997" s="0">
        <f>HYPERLINK("https://ec-qa-storage.kldlms.com/Item/08DCFA78-AFEE-4C16-8B3D-D35447DE4E4E/A90AAE7C-5CF4-4D72-9B9D-A15F9FBD5A5E.jpg","Thumbnail Image")</f>
      </c>
      <c r="V997" s="0">
        <f>HYPERLINK("https://ec-qa-storage.kldlms.com/ItemGallery/08DCFA78-AFEE-4C16-8B3D-D35447DE4E4E/DF104C36-2700-49C3-8449-C20C8C64670A.jpg","Gallery Image ")</f>
      </c>
      <c r="W997" s="0" t="s">
        <v>22</v>
      </c>
    </row>
    <row r="998">
      <c r="P998" s="0" t="s">
        <v>527</v>
      </c>
      <c r="Q998" s="0" t="s">
        <v>3994</v>
      </c>
      <c r="R998" s="0" t="s">
        <v>3992</v>
      </c>
      <c r="S998" s="0" t="s">
        <v>32</v>
      </c>
      <c r="T998" s="0">
        <f>HYPERLINK("https://ec-qa-storage.kldlms.com/ItemVariation/08DCFA78-AFEE-4C16-8B3D-D35447DE4E4E/1CB7A1C4-AD3B-4D0C-9D41-7E679C71894E.jpg","Variant Image")</f>
      </c>
    </row>
    <row r="999">
      <c r="A999" s="0" t="s">
        <v>1639</v>
      </c>
      <c r="B999" s="0" t="s">
        <v>1639</v>
      </c>
      <c r="C999" s="0" t="s">
        <v>3996</v>
      </c>
      <c r="D999" s="0" t="s">
        <v>27</v>
      </c>
      <c r="E999" s="0" t="s">
        <v>3997</v>
      </c>
      <c r="F999" s="0" t="s">
        <v>58</v>
      </c>
      <c r="G999" s="0" t="s">
        <v>1639</v>
      </c>
      <c r="H999" s="0" t="s">
        <v>1639</v>
      </c>
      <c r="I999" s="0" t="s">
        <v>615</v>
      </c>
      <c r="J999" s="0" t="s">
        <v>615</v>
      </c>
      <c r="K999" s="0" t="s">
        <v>3658</v>
      </c>
      <c r="L999" s="0" t="s">
        <v>32</v>
      </c>
      <c r="M999" s="0" t="s">
        <v>33</v>
      </c>
      <c r="N999" s="0" t="s">
        <v>32</v>
      </c>
      <c r="O999" s="0" t="s">
        <v>35</v>
      </c>
      <c r="P999" s="0" t="s">
        <v>39</v>
      </c>
      <c r="Q999" s="0" t="s">
        <v>3659</v>
      </c>
      <c r="R999" s="0" t="s">
        <v>3996</v>
      </c>
      <c r="S999" s="0" t="s">
        <v>92</v>
      </c>
      <c r="T999" s="0">
        <f>HYPERLINK("https://storage.sslt.ae/ItemVariation/08DCFA78-B04A-4711-8E25-4B099163EFEA/66F40B80-5FE7-4685-840F-744D2228683F.png","Variant Image")</f>
      </c>
      <c r="U999" s="0">
        <f>HYPERLINK("https://ec-qa-storage.kldlms.com/Item/08DCFA78-B04A-4711-8E25-4B099163EFEA/AEE06154-4997-4A2F-A50C-253415DB0E0B.png","Thumbnail Image")</f>
      </c>
      <c r="V999" s="0">
        <f>HYPERLINK("https://ec-qa-storage.kldlms.com/ItemGallery/08DCFA78-B04A-4711-8E25-4B099163EFEA/1F81507D-A05A-4B3D-ADCC-85F30C7C0D84.png","Gallery Image ")</f>
      </c>
      <c r="W999" s="0" t="s">
        <v>22</v>
      </c>
      <c r="X999" s="0" t="s">
        <v>3998</v>
      </c>
    </row>
    <row r="1000">
      <c r="A1000" s="0" t="s">
        <v>3999</v>
      </c>
      <c r="B1000" s="0" t="s">
        <v>3999</v>
      </c>
      <c r="C1000" s="0" t="s">
        <v>4000</v>
      </c>
      <c r="D1000" s="0" t="s">
        <v>27</v>
      </c>
      <c r="E1000" s="0" t="s">
        <v>3526</v>
      </c>
      <c r="F1000" s="0" t="s">
        <v>3137</v>
      </c>
      <c r="G1000" s="0" t="s">
        <v>3999</v>
      </c>
      <c r="H1000" s="0" t="s">
        <v>3999</v>
      </c>
      <c r="I1000" s="0" t="s">
        <v>4001</v>
      </c>
      <c r="J1000" s="0" t="s">
        <v>4001</v>
      </c>
      <c r="K1000" s="0" t="s">
        <v>4002</v>
      </c>
      <c r="L1000" s="0" t="s">
        <v>32</v>
      </c>
      <c r="M1000" s="0" t="s">
        <v>61</v>
      </c>
      <c r="N1000" s="0" t="s">
        <v>32</v>
      </c>
      <c r="O1000" s="0" t="s">
        <v>35</v>
      </c>
      <c r="P1000" s="0" t="s">
        <v>39</v>
      </c>
      <c r="Q1000" s="0" t="s">
        <v>4003</v>
      </c>
      <c r="R1000" s="0" t="s">
        <v>4000</v>
      </c>
      <c r="S1000" s="0" t="s">
        <v>32</v>
      </c>
      <c r="T1000" s="0">
        <f>HYPERLINK("https://storage.sslt.ae/ItemVariation/08DCFA78-B9C3-4F56-8E1C-A19012597596/78B27E09-5A72-4092-BBDE-3D4D73CBC238.png","Variant Image")</f>
      </c>
      <c r="U1000" s="0">
        <f>HYPERLINK("https://ec-qa-storage.kldlms.com/Item/08DCFA78-B9C3-4F56-8E1C-A19012597596/4C149CD6-00DE-45DA-83F4-A867E15AB29E.png","Thumbnail Image")</f>
      </c>
      <c r="V1000" s="0">
        <f>HYPERLINK("https://ec-qa-storage.kldlms.com/ItemGallery/08DCFA78-B9C3-4F56-8E1C-A19012597596/0331CE90-A8C5-4DA2-AB55-E99760CCCEA3.png","Gallery Image ")</f>
      </c>
      <c r="W1000" s="0" t="s">
        <v>22</v>
      </c>
    </row>
    <row r="1001">
      <c r="P1001" s="0" t="s">
        <v>527</v>
      </c>
      <c r="Q1001" s="0" t="s">
        <v>4002</v>
      </c>
      <c r="R1001" s="0" t="s">
        <v>4000</v>
      </c>
      <c r="S1001" s="0" t="s">
        <v>32</v>
      </c>
      <c r="T1001" s="0">
        <f>HYPERLINK("https://ec-qa-storage.kldlms.com/ItemVariation/08DCFA78-B9C3-4F56-8E1C-A19012597596/69AEF50C-B090-4661-B2F9-D71784BF51B3.png","Variant Image")</f>
      </c>
    </row>
    <row r="1002">
      <c r="A1002" s="0" t="s">
        <v>4004</v>
      </c>
      <c r="B1002" s="0" t="s">
        <v>4004</v>
      </c>
      <c r="C1002" s="0" t="s">
        <v>4005</v>
      </c>
      <c r="D1002" s="0" t="s">
        <v>27</v>
      </c>
      <c r="E1002" s="0" t="s">
        <v>3526</v>
      </c>
      <c r="F1002" s="0" t="s">
        <v>3137</v>
      </c>
      <c r="G1002" s="0" t="s">
        <v>4004</v>
      </c>
      <c r="H1002" s="0" t="s">
        <v>4004</v>
      </c>
      <c r="I1002" s="0" t="s">
        <v>4006</v>
      </c>
      <c r="J1002" s="0" t="s">
        <v>4006</v>
      </c>
      <c r="K1002" s="0" t="s">
        <v>4007</v>
      </c>
      <c r="L1002" s="0" t="s">
        <v>32</v>
      </c>
      <c r="M1002" s="0" t="s">
        <v>61</v>
      </c>
      <c r="N1002" s="0" t="s">
        <v>32</v>
      </c>
      <c r="O1002" s="0" t="s">
        <v>35</v>
      </c>
      <c r="P1002" s="0" t="s">
        <v>39</v>
      </c>
      <c r="Q1002" s="0" t="s">
        <v>4008</v>
      </c>
      <c r="R1002" s="0" t="s">
        <v>4005</v>
      </c>
      <c r="S1002" s="0" t="s">
        <v>32</v>
      </c>
      <c r="T1002" s="0">
        <f>HYPERLINK("https://storage.sslt.ae/ItemVariation/08DCFA78-BB4A-4A7E-8DB2-AF015E778DCB/692A97AF-19FD-4C3A-9D81-E993066F7ADE.png","Variant Image")</f>
      </c>
      <c r="U1002" s="0">
        <f>HYPERLINK("https://ec-qa-storage.kldlms.com/Item/08DCFA78-BB4A-4A7E-8DB2-AF015E778DCB/B910D3AD-A70F-4D1D-825D-6EC3BEC76B1D.jpg","Thumbnail Image")</f>
      </c>
      <c r="V1002" s="0">
        <f>HYPERLINK("https://ec-qa-storage.kldlms.com/ItemGallery/08DCFA78-BB4A-4A7E-8DB2-AF015E778DCB/E29C1503-B5A7-463D-BEBE-67BFF0942D43.jpg","Gallery Image ")</f>
      </c>
      <c r="W1002" s="0" t="s">
        <v>22</v>
      </c>
    </row>
    <row r="1003">
      <c r="P1003" s="0" t="s">
        <v>527</v>
      </c>
      <c r="Q1003" s="0" t="s">
        <v>4007</v>
      </c>
      <c r="R1003" s="0" t="s">
        <v>4005</v>
      </c>
      <c r="S1003" s="0" t="s">
        <v>32</v>
      </c>
      <c r="T1003" s="0">
        <f>HYPERLINK("https://ec-qa-storage.kldlms.com/ItemVariation/08DCFA78-BB4A-4A7E-8DB2-AF015E778DCB/D650BC89-4767-4AA2-9939-14617E06EA64.jpg","Variant Image")</f>
      </c>
    </row>
    <row r="1004">
      <c r="A1004" s="0" t="s">
        <v>4009</v>
      </c>
      <c r="B1004" s="0" t="s">
        <v>4009</v>
      </c>
      <c r="C1004" s="0" t="s">
        <v>4010</v>
      </c>
      <c r="D1004" s="0" t="s">
        <v>27</v>
      </c>
      <c r="E1004" s="0" t="s">
        <v>3526</v>
      </c>
      <c r="F1004" s="0" t="s">
        <v>3137</v>
      </c>
      <c r="G1004" s="0" t="s">
        <v>4009</v>
      </c>
      <c r="H1004" s="0" t="s">
        <v>4009</v>
      </c>
      <c r="I1004" s="0" t="s">
        <v>4011</v>
      </c>
      <c r="J1004" s="0" t="s">
        <v>4011</v>
      </c>
      <c r="K1004" s="0" t="s">
        <v>31</v>
      </c>
      <c r="L1004" s="0" t="s">
        <v>32</v>
      </c>
      <c r="M1004" s="0" t="s">
        <v>61</v>
      </c>
      <c r="N1004" s="0" t="s">
        <v>32</v>
      </c>
      <c r="O1004" s="0" t="s">
        <v>35</v>
      </c>
      <c r="P1004" s="0" t="s">
        <v>39</v>
      </c>
      <c r="Q1004" s="0" t="s">
        <v>4012</v>
      </c>
      <c r="R1004" s="0" t="s">
        <v>4010</v>
      </c>
      <c r="S1004" s="0" t="s">
        <v>32</v>
      </c>
      <c r="T1004" s="0">
        <f>HYPERLINK("https://storage.sslt.ae/ItemVariation/08DCFA78-BBA4-41DA-8485-54344DD2FE4E/2BC40DBC-A49A-4204-AC6D-196630C0789C.png","Variant Image")</f>
      </c>
      <c r="U1004" s="0">
        <f>HYPERLINK("https://ec-qa-storage.kldlms.com/Item/08DCFA78-BBA4-41DA-8485-54344DD2FE4E/B2FB3727-CCB3-4F2B-9155-5A96ADD5783F.jpg","Thumbnail Image")</f>
      </c>
      <c r="V1004" s="0">
        <f>HYPERLINK("https://ec-qa-storage.kldlms.com/ItemGallery/08DCFA78-BBA4-41DA-8485-54344DD2FE4E/AB9DFAE3-6ED2-45B6-8958-0D3C90F21547.png","Gallery Image ")</f>
      </c>
      <c r="W1004" s="0" t="s">
        <v>22</v>
      </c>
    </row>
    <row r="1005">
      <c r="P1005" s="0" t="s">
        <v>1016</v>
      </c>
      <c r="Q1005" s="0" t="s">
        <v>31</v>
      </c>
      <c r="R1005" s="0" t="s">
        <v>4010</v>
      </c>
      <c r="S1005" s="0" t="s">
        <v>32</v>
      </c>
      <c r="T1005" s="0">
        <f>HYPERLINK("https://ec-qa-storage.kldlms.com/ItemVariation/08DCFA78-BBA4-41DA-8485-54344DD2FE4E/DB48FADC-EF8A-4A40-8C06-663C3673E1A9.jpg","Variant Image")</f>
      </c>
    </row>
    <row r="1006">
      <c r="A1006" s="0" t="s">
        <v>4013</v>
      </c>
      <c r="B1006" s="0" t="s">
        <v>4013</v>
      </c>
      <c r="C1006" s="0" t="s">
        <v>4014</v>
      </c>
      <c r="D1006" s="0" t="s">
        <v>27</v>
      </c>
      <c r="E1006" s="0" t="s">
        <v>3526</v>
      </c>
      <c r="F1006" s="0" t="s">
        <v>3137</v>
      </c>
      <c r="G1006" s="0" t="s">
        <v>4013</v>
      </c>
      <c r="H1006" s="0" t="s">
        <v>4013</v>
      </c>
      <c r="I1006" s="0" t="s">
        <v>4015</v>
      </c>
      <c r="J1006" s="0" t="s">
        <v>4015</v>
      </c>
      <c r="K1006" s="0" t="s">
        <v>4016</v>
      </c>
      <c r="L1006" s="0" t="s">
        <v>32</v>
      </c>
      <c r="M1006" s="0" t="s">
        <v>61</v>
      </c>
      <c r="N1006" s="0" t="s">
        <v>32</v>
      </c>
      <c r="O1006" s="0" t="s">
        <v>35</v>
      </c>
      <c r="P1006" s="0" t="s">
        <v>39</v>
      </c>
      <c r="Q1006" s="0" t="s">
        <v>4017</v>
      </c>
      <c r="R1006" s="0" t="s">
        <v>4014</v>
      </c>
      <c r="S1006" s="0" t="s">
        <v>32</v>
      </c>
      <c r="T1006" s="0">
        <f>HYPERLINK("https://storage.sslt.ae/ItemVariation/08DCFA78-BC5B-489C-8EF1-E1DAA60BFDC2/261E0428-FDF9-4A01-AD9E-B57C726D26BA.png","Variant Image")</f>
      </c>
      <c r="U1006" s="0">
        <f>HYPERLINK("https://ec-qa-storage.kldlms.com/Item/08DCFA78-BC5B-489C-8EF1-E1DAA60BFDC2/8B8F16EC-B29A-44DA-8896-11C9D47938E3.jpg","Thumbnail Image")</f>
      </c>
      <c r="V1006" s="0">
        <f>HYPERLINK("https://ec-qa-storage.kldlms.com/ItemGallery/08DCFA78-BC5B-489C-8EF1-E1DAA60BFDC2/547B9AAF-2762-447E-B2BC-EE603D3532F3.jpg","Gallery Image ")</f>
      </c>
      <c r="W1006" s="0" t="s">
        <v>22</v>
      </c>
    </row>
    <row r="1007">
      <c r="P1007" s="0" t="s">
        <v>4018</v>
      </c>
      <c r="Q1007" s="0" t="s">
        <v>4016</v>
      </c>
      <c r="R1007" s="0" t="s">
        <v>4014</v>
      </c>
      <c r="S1007" s="0" t="s">
        <v>32</v>
      </c>
      <c r="T1007" s="0">
        <f>HYPERLINK("https://ec-qa-storage.kldlms.com/ItemVariation/08DCFA78-BC5B-489C-8EF1-E1DAA60BFDC2/9473ED7E-C9D4-4095-8006-ED3F71EB6962.jpg","Variant Image")</f>
      </c>
    </row>
    <row r="1008">
      <c r="A1008" s="0" t="s">
        <v>4019</v>
      </c>
      <c r="B1008" s="0" t="s">
        <v>4019</v>
      </c>
      <c r="C1008" s="0" t="s">
        <v>4020</v>
      </c>
      <c r="D1008" s="0" t="s">
        <v>27</v>
      </c>
      <c r="E1008" s="0" t="s">
        <v>3526</v>
      </c>
      <c r="F1008" s="0" t="s">
        <v>3137</v>
      </c>
      <c r="G1008" s="0" t="s">
        <v>4019</v>
      </c>
      <c r="H1008" s="0" t="s">
        <v>4019</v>
      </c>
      <c r="I1008" s="0" t="s">
        <v>4021</v>
      </c>
      <c r="J1008" s="0" t="s">
        <v>4021</v>
      </c>
      <c r="K1008" s="0" t="s">
        <v>1914</v>
      </c>
      <c r="L1008" s="0" t="s">
        <v>32</v>
      </c>
      <c r="M1008" s="0" t="s">
        <v>61</v>
      </c>
      <c r="N1008" s="0" t="s">
        <v>32</v>
      </c>
      <c r="O1008" s="0" t="s">
        <v>35</v>
      </c>
      <c r="P1008" s="0" t="s">
        <v>39</v>
      </c>
      <c r="Q1008" s="0" t="s">
        <v>4022</v>
      </c>
      <c r="R1008" s="0" t="s">
        <v>4020</v>
      </c>
      <c r="S1008" s="0" t="s">
        <v>32</v>
      </c>
      <c r="T1008" s="0">
        <f>HYPERLINK("https://storage.sslt.ae/ItemVariation/08DCFA78-BD6F-4875-883A-0FE2027D6364/67DD338F-3280-4ADE-A9BD-F116879DA255.png","Variant Image")</f>
      </c>
      <c r="U1008" s="0">
        <f>HYPERLINK("https://ec-qa-storage.kldlms.com/Item/08DCFA78-BD6F-4875-883A-0FE2027D6364/712CEB72-9EAC-4AB5-9050-6028B7A651E7.jpg","Thumbnail Image")</f>
      </c>
      <c r="V1008" s="0">
        <f>HYPERLINK("https://ec-qa-storage.kldlms.com/ItemGallery/08DCFA78-BD6F-4875-883A-0FE2027D6364/0A8F84DC-EA5C-4217-AB73-3476ACB80C3F.jpg","Gallery Image ")</f>
      </c>
      <c r="W1008" s="0" t="s">
        <v>22</v>
      </c>
    </row>
    <row r="1009">
      <c r="P1009" s="0" t="s">
        <v>527</v>
      </c>
      <c r="Q1009" s="0" t="s">
        <v>1914</v>
      </c>
      <c r="R1009" s="0" t="s">
        <v>4020</v>
      </c>
      <c r="S1009" s="0" t="s">
        <v>32</v>
      </c>
      <c r="T1009" s="0">
        <f>HYPERLINK("https://ec-qa-storage.kldlms.com/ItemVariation/08DCFA78-BD6F-4875-883A-0FE2027D6364/C295B0A3-137F-4733-B5C8-89C6A8CA1710.jpg","Variant Image")</f>
      </c>
    </row>
    <row r="1010">
      <c r="A1010" s="0" t="s">
        <v>4023</v>
      </c>
      <c r="B1010" s="0" t="s">
        <v>4023</v>
      </c>
      <c r="C1010" s="0" t="s">
        <v>4024</v>
      </c>
      <c r="D1010" s="0" t="s">
        <v>27</v>
      </c>
      <c r="E1010" s="0" t="s">
        <v>3526</v>
      </c>
      <c r="F1010" s="0" t="s">
        <v>3137</v>
      </c>
      <c r="G1010" s="0" t="s">
        <v>4023</v>
      </c>
      <c r="H1010" s="0" t="s">
        <v>4023</v>
      </c>
      <c r="I1010" s="0" t="s">
        <v>4025</v>
      </c>
      <c r="J1010" s="0" t="s">
        <v>4025</v>
      </c>
      <c r="K1010" s="0" t="s">
        <v>4026</v>
      </c>
      <c r="L1010" s="0" t="s">
        <v>32</v>
      </c>
      <c r="M1010" s="0" t="s">
        <v>61</v>
      </c>
      <c r="N1010" s="0" t="s">
        <v>32</v>
      </c>
      <c r="O1010" s="0" t="s">
        <v>35</v>
      </c>
      <c r="P1010" s="0" t="s">
        <v>39</v>
      </c>
      <c r="Q1010" s="0" t="s">
        <v>4027</v>
      </c>
      <c r="R1010" s="0" t="s">
        <v>4024</v>
      </c>
      <c r="S1010" s="0" t="s">
        <v>32</v>
      </c>
      <c r="T1010" s="0">
        <f>HYPERLINK("https://storage.sslt.ae/ItemVariation/08DCFA78-BDCA-4616-801E-93A7FE29F1E8/EA02BC27-B51A-46DD-BA3B-6BC1777FABB2.png","Variant Image")</f>
      </c>
      <c r="U1010" s="0">
        <f>HYPERLINK("https://ec-qa-storage.kldlms.com/Item/08DCFA78-BDCA-4616-801E-93A7FE29F1E8/7E952B78-9A50-40DB-8E5E-1C113BCDF76F.jpg","Thumbnail Image")</f>
      </c>
      <c r="V1010" s="0">
        <f>HYPERLINK("https://ec-qa-storage.kldlms.com/ItemGallery/08DCFA78-BDCA-4616-801E-93A7FE29F1E8/04553E13-A086-46C3-B4FF-A86A7D2054DD.jpg","Gallery Image ")</f>
      </c>
      <c r="W1010" s="0" t="s">
        <v>22</v>
      </c>
    </row>
    <row r="1011">
      <c r="P1011" s="0" t="s">
        <v>527</v>
      </c>
      <c r="Q1011" s="0" t="s">
        <v>4026</v>
      </c>
      <c r="R1011" s="0" t="s">
        <v>4024</v>
      </c>
      <c r="S1011" s="0" t="s">
        <v>32</v>
      </c>
      <c r="T1011" s="0">
        <f>HYPERLINK("https://ec-qa-storage.kldlms.com/ItemVariation/08DCFA78-BDCA-4616-801E-93A7FE29F1E8/D241FE8B-3008-4580-B7CD-1805A3E3AA7E.jpg","Variant Image")</f>
      </c>
    </row>
    <row r="1012">
      <c r="A1012" s="0" t="s">
        <v>4028</v>
      </c>
      <c r="B1012" s="0" t="s">
        <v>4028</v>
      </c>
      <c r="C1012" s="0" t="s">
        <v>4029</v>
      </c>
      <c r="D1012" s="0" t="s">
        <v>27</v>
      </c>
      <c r="E1012" s="0" t="s">
        <v>3879</v>
      </c>
      <c r="F1012" s="0" t="s">
        <v>3137</v>
      </c>
      <c r="G1012" s="0" t="s">
        <v>4028</v>
      </c>
      <c r="H1012" s="0" t="s">
        <v>4028</v>
      </c>
      <c r="I1012" s="0" t="s">
        <v>4030</v>
      </c>
      <c r="J1012" s="0" t="s">
        <v>4030</v>
      </c>
      <c r="K1012" s="0" t="s">
        <v>4031</v>
      </c>
      <c r="L1012" s="0" t="s">
        <v>32</v>
      </c>
      <c r="M1012" s="0" t="s">
        <v>61</v>
      </c>
      <c r="N1012" s="0" t="s">
        <v>32</v>
      </c>
      <c r="O1012" s="0" t="s">
        <v>35</v>
      </c>
      <c r="P1012" s="0" t="s">
        <v>39</v>
      </c>
      <c r="Q1012" s="0" t="s">
        <v>4032</v>
      </c>
      <c r="R1012" s="0" t="s">
        <v>4029</v>
      </c>
      <c r="S1012" s="0" t="s">
        <v>32</v>
      </c>
      <c r="T1012" s="0">
        <f>HYPERLINK("https://storage.sslt.ae/ItemVariation/08DCFA78-BEDF-445A-86F9-4447B2FA4B64/3D020C48-0727-41D3-9841-68814C7977F7.png","Variant Image")</f>
      </c>
      <c r="U1012" s="0">
        <f>HYPERLINK("https://ec-qa-storage.kldlms.com/Item/08DCFA78-BEDF-445A-86F9-4447B2FA4B64/A29E341D-EC59-4DA1-A6EB-9C6FF5373C3B.jpg","Thumbnail Image")</f>
      </c>
      <c r="V1012" s="0">
        <f>HYPERLINK("https://ec-qa-storage.kldlms.com/ItemGallery/08DCFA78-BEDF-445A-86F9-4447B2FA4B64/3875617E-8D5E-4E5B-BE17-34DF52EFFD0E.jpg","Gallery Image ")</f>
      </c>
      <c r="W1012" s="0" t="s">
        <v>22</v>
      </c>
    </row>
    <row r="1013">
      <c r="P1013" s="0" t="s">
        <v>527</v>
      </c>
      <c r="Q1013" s="0" t="s">
        <v>4031</v>
      </c>
      <c r="R1013" s="0" t="s">
        <v>4029</v>
      </c>
      <c r="S1013" s="0" t="s">
        <v>32</v>
      </c>
      <c r="T1013" s="0">
        <f>HYPERLINK("https://ec-qa-storage.kldlms.com/ItemVariation/08DCFA78-BEDF-445A-86F9-4447B2FA4B64/4D676786-F163-46D1-A996-8394C67B527F.jpg","Variant Image")</f>
      </c>
    </row>
    <row r="1014">
      <c r="A1014" s="0" t="s">
        <v>4033</v>
      </c>
      <c r="B1014" s="0" t="s">
        <v>4033</v>
      </c>
      <c r="C1014" s="0" t="s">
        <v>4034</v>
      </c>
      <c r="D1014" s="0" t="s">
        <v>27</v>
      </c>
      <c r="E1014" s="0" t="s">
        <v>3879</v>
      </c>
      <c r="F1014" s="0" t="s">
        <v>3137</v>
      </c>
      <c r="G1014" s="0" t="s">
        <v>4033</v>
      </c>
      <c r="H1014" s="0" t="s">
        <v>4033</v>
      </c>
      <c r="I1014" s="0" t="s">
        <v>4035</v>
      </c>
      <c r="J1014" s="0" t="s">
        <v>4035</v>
      </c>
      <c r="K1014" s="0" t="s">
        <v>4036</v>
      </c>
      <c r="L1014" s="0" t="s">
        <v>32</v>
      </c>
      <c r="M1014" s="0" t="s">
        <v>61</v>
      </c>
      <c r="N1014" s="0" t="s">
        <v>32</v>
      </c>
      <c r="O1014" s="0" t="s">
        <v>35</v>
      </c>
      <c r="P1014" s="0" t="s">
        <v>39</v>
      </c>
      <c r="Q1014" s="0" t="s">
        <v>4037</v>
      </c>
      <c r="R1014" s="0" t="s">
        <v>4034</v>
      </c>
      <c r="S1014" s="0" t="s">
        <v>32</v>
      </c>
      <c r="T1014" s="0">
        <f>HYPERLINK("https://storage.sslt.ae/ItemVariation/08DCFA78-BF3A-4E5A-856D-FB4805C6C808/6CD2C041-545C-488D-BF43-31C3A510FB59.png","Variant Image")</f>
      </c>
      <c r="U1014" s="0">
        <f>HYPERLINK("https://ec-qa-storage.kldlms.com/Item/08DCFA78-BF3A-4E5A-856D-FB4805C6C808/B1FDCFEF-62CE-42E2-8682-494316B2559E.jpg","Thumbnail Image")</f>
      </c>
      <c r="V1014" s="0">
        <f>HYPERLINK("https://ec-qa-storage.kldlms.com/ItemGallery/08DCFA78-BF3A-4E5A-856D-FB4805C6C808/10C2ED14-EA02-4214-B551-7EA5D261B607.jpg","Gallery Image ")</f>
      </c>
      <c r="W1014" s="0" t="s">
        <v>22</v>
      </c>
    </row>
    <row r="1015">
      <c r="P1015" s="0" t="s">
        <v>527</v>
      </c>
      <c r="Q1015" s="0" t="s">
        <v>4036</v>
      </c>
      <c r="R1015" s="0" t="s">
        <v>4034</v>
      </c>
      <c r="S1015" s="0" t="s">
        <v>32</v>
      </c>
      <c r="T1015" s="0">
        <f>HYPERLINK("https://ec-qa-storage.kldlms.com/ItemVariation/08DCFA78-BF3A-4E5A-856D-FB4805C6C808/484437EE-83A6-4A3D-95EE-DDB34C998819.jpg","Variant Image")</f>
      </c>
    </row>
    <row r="1016">
      <c r="A1016" s="0" t="s">
        <v>4038</v>
      </c>
      <c r="B1016" s="0" t="s">
        <v>4038</v>
      </c>
      <c r="C1016" s="0" t="s">
        <v>4039</v>
      </c>
      <c r="D1016" s="0" t="s">
        <v>27</v>
      </c>
      <c r="E1016" s="0" t="s">
        <v>4040</v>
      </c>
      <c r="F1016" s="0" t="s">
        <v>1298</v>
      </c>
      <c r="G1016" s="0" t="s">
        <v>4038</v>
      </c>
      <c r="H1016" s="0" t="s">
        <v>4038</v>
      </c>
      <c r="I1016" s="0" t="s">
        <v>615</v>
      </c>
      <c r="J1016" s="0" t="s">
        <v>615</v>
      </c>
      <c r="K1016" s="0" t="s">
        <v>3711</v>
      </c>
      <c r="L1016" s="0" t="s">
        <v>32</v>
      </c>
      <c r="M1016" s="0" t="s">
        <v>33</v>
      </c>
      <c r="N1016" s="0" t="s">
        <v>140</v>
      </c>
      <c r="O1016" s="0" t="s">
        <v>35</v>
      </c>
      <c r="P1016" s="0" t="s">
        <v>39</v>
      </c>
      <c r="Q1016" s="0" t="s">
        <v>3712</v>
      </c>
      <c r="R1016" s="0" t="s">
        <v>4039</v>
      </c>
      <c r="S1016" s="0" t="s">
        <v>140</v>
      </c>
      <c r="T1016" s="0">
        <f>HYPERLINK("https://storage.sslt.ae/ItemVariation/08DCFA78-C22A-453C-8C22-06F0950B5CC1/4EDAE3F4-6573-4D9D-B8BF-3A255A960BFF.png","Variant Image")</f>
      </c>
      <c r="U1016" s="0">
        <f>HYPERLINK("https://ec-qa-storage.kldlms.com/Item/08DCFA78-C22A-453C-8C22-06F0950B5CC1/74AEE902-203B-4EF8-A829-E6F15F407983.png","Thumbnail Image")</f>
      </c>
      <c r="V1016" s="0">
        <f>HYPERLINK("https://ec-qa-storage.kldlms.com/ItemGallery/08DCFA78-C22A-453C-8C22-06F0950B5CC1/890B0DE2-8706-4109-8BAA-746E66FB0948.png","Gallery Image ")</f>
      </c>
      <c r="W1016" s="0" t="s">
        <v>22</v>
      </c>
      <c r="X1016" s="0" t="s">
        <v>4041</v>
      </c>
    </row>
    <row r="1017">
      <c r="A1017" s="0" t="s">
        <v>4042</v>
      </c>
      <c r="B1017" s="0" t="s">
        <v>4042</v>
      </c>
      <c r="C1017" s="0" t="s">
        <v>4043</v>
      </c>
      <c r="D1017" s="0" t="s">
        <v>27</v>
      </c>
      <c r="E1017" s="0" t="s">
        <v>4040</v>
      </c>
      <c r="F1017" s="0" t="s">
        <v>1298</v>
      </c>
      <c r="G1017" s="0" t="s">
        <v>4042</v>
      </c>
      <c r="H1017" s="0" t="s">
        <v>4042</v>
      </c>
      <c r="I1017" s="0" t="s">
        <v>615</v>
      </c>
      <c r="J1017" s="0" t="s">
        <v>615</v>
      </c>
      <c r="K1017" s="0" t="s">
        <v>4044</v>
      </c>
      <c r="L1017" s="0" t="s">
        <v>32</v>
      </c>
      <c r="M1017" s="0" t="s">
        <v>33</v>
      </c>
      <c r="N1017" s="0" t="s">
        <v>404</v>
      </c>
      <c r="O1017" s="0" t="s">
        <v>35</v>
      </c>
      <c r="P1017" s="0" t="s">
        <v>39</v>
      </c>
      <c r="Q1017" s="0" t="s">
        <v>4045</v>
      </c>
      <c r="R1017" s="0" t="s">
        <v>4043</v>
      </c>
      <c r="S1017" s="0" t="s">
        <v>404</v>
      </c>
      <c r="T1017" s="0">
        <f>HYPERLINK("https://storage.sslt.ae/ItemVariation/08DCFA78-C287-45E4-8E62-8164BC8FFE35/C7054AE5-1C10-4993-9C40-27199536D31C.png","Variant Image")</f>
      </c>
      <c r="U1017" s="0">
        <f>HYPERLINK("https://ec-qa-storage.kldlms.com/Item/08DCFA78-C287-45E4-8E62-8164BC8FFE35/56C722EB-5BA3-4C22-834E-85D88418C7A2.png","Thumbnail Image")</f>
      </c>
      <c r="V1017" s="0">
        <f>HYPERLINK("https://ec-qa-storage.kldlms.com/ItemGallery/08DCFA78-C287-45E4-8E62-8164BC8FFE35/E052ED3B-1632-4DE1-8D3B-512B4D993EE8.png","Gallery Image ")</f>
      </c>
      <c r="W1017" s="0" t="s">
        <v>22</v>
      </c>
      <c r="X1017" s="0" t="s">
        <v>4046</v>
      </c>
    </row>
    <row r="1018">
      <c r="A1018" s="0" t="s">
        <v>4038</v>
      </c>
      <c r="B1018" s="0" t="s">
        <v>4038</v>
      </c>
      <c r="C1018" s="0" t="s">
        <v>4047</v>
      </c>
      <c r="D1018" s="0" t="s">
        <v>27</v>
      </c>
      <c r="E1018" s="0" t="s">
        <v>4040</v>
      </c>
      <c r="F1018" s="0" t="s">
        <v>1298</v>
      </c>
      <c r="G1018" s="0" t="s">
        <v>4038</v>
      </c>
      <c r="H1018" s="0" t="s">
        <v>4038</v>
      </c>
      <c r="I1018" s="0" t="s">
        <v>615</v>
      </c>
      <c r="J1018" s="0" t="s">
        <v>615</v>
      </c>
      <c r="K1018" s="0" t="s">
        <v>3249</v>
      </c>
      <c r="L1018" s="0" t="s">
        <v>32</v>
      </c>
      <c r="M1018" s="0" t="s">
        <v>33</v>
      </c>
      <c r="N1018" s="0" t="s">
        <v>720</v>
      </c>
      <c r="O1018" s="0" t="s">
        <v>35</v>
      </c>
      <c r="P1018" s="0" t="s">
        <v>39</v>
      </c>
      <c r="Q1018" s="0" t="s">
        <v>4048</v>
      </c>
      <c r="R1018" s="0" t="s">
        <v>4047</v>
      </c>
      <c r="S1018" s="0" t="s">
        <v>720</v>
      </c>
      <c r="T1018" s="0">
        <f>HYPERLINK("https://storage.sslt.ae/ItemVariation/08DCFA78-C2E2-42D5-895C-B467C82310BC/47C9B00E-8301-469B-9A52-B1D55319CCBF.png","Variant Image")</f>
      </c>
      <c r="U1018" s="0">
        <f>HYPERLINK("https://ec-qa-storage.kldlms.com/Item/08DCFA78-C2E2-42D5-895C-B467C82310BC/E8426ACD-25DE-4789-BC13-DCA145C18D9C.png","Thumbnail Image")</f>
      </c>
      <c r="V1018" s="0">
        <f>HYPERLINK("https://ec-qa-storage.kldlms.com/ItemGallery/08DCFA78-C2E2-42D5-895C-B467C82310BC/5DBCBDCA-E03F-499A-9CB9-38AE4B5BBADB.png","Gallery Image ")</f>
      </c>
      <c r="W1018" s="0" t="s">
        <v>22</v>
      </c>
      <c r="X1018" s="0" t="s">
        <v>4049</v>
      </c>
    </row>
    <row r="1019">
      <c r="A1019" s="0" t="s">
        <v>4038</v>
      </c>
      <c r="B1019" s="0" t="s">
        <v>4038</v>
      </c>
      <c r="C1019" s="0" t="s">
        <v>4050</v>
      </c>
      <c r="D1019" s="0" t="s">
        <v>27</v>
      </c>
      <c r="E1019" s="0" t="s">
        <v>4040</v>
      </c>
      <c r="F1019" s="0" t="s">
        <v>1298</v>
      </c>
      <c r="G1019" s="0" t="s">
        <v>4038</v>
      </c>
      <c r="H1019" s="0" t="s">
        <v>4038</v>
      </c>
      <c r="I1019" s="0" t="s">
        <v>615</v>
      </c>
      <c r="J1019" s="0" t="s">
        <v>615</v>
      </c>
      <c r="K1019" s="0" t="s">
        <v>2234</v>
      </c>
      <c r="L1019" s="0" t="s">
        <v>32</v>
      </c>
      <c r="M1019" s="0" t="s">
        <v>33</v>
      </c>
      <c r="N1019" s="0" t="s">
        <v>846</v>
      </c>
      <c r="O1019" s="0" t="s">
        <v>35</v>
      </c>
      <c r="P1019" s="0" t="s">
        <v>39</v>
      </c>
      <c r="Q1019" s="0" t="s">
        <v>4051</v>
      </c>
      <c r="R1019" s="0" t="s">
        <v>4050</v>
      </c>
      <c r="S1019" s="0" t="s">
        <v>846</v>
      </c>
      <c r="T1019" s="0">
        <f>HYPERLINK("https://storage.sslt.ae/ItemVariation/08DCFA78-C33D-4A7F-8634-4CCA67CC2AFA/C55C0E40-4078-4EF4-8989-4237FDC2BAA5.png","Variant Image")</f>
      </c>
      <c r="U1019" s="0">
        <f>HYPERLINK("https://ec-qa-storage.kldlms.com/Item/08DCFA78-C33D-4A7F-8634-4CCA67CC2AFA/D43E8759-DD56-4AF8-86EE-C337D9D13028.png","Thumbnail Image")</f>
      </c>
      <c r="V1019" s="0">
        <f>HYPERLINK("https://ec-qa-storage.kldlms.com/ItemGallery/08DCFA78-C33D-4A7F-8634-4CCA67CC2AFA/BBF2A325-88D1-4FD1-99F7-344B21AF3B48.png","Gallery Image ")</f>
      </c>
      <c r="W1019" s="0" t="s">
        <v>22</v>
      </c>
      <c r="X1019" s="0" t="s">
        <v>4052</v>
      </c>
    </row>
    <row r="1020">
      <c r="A1020" s="0" t="s">
        <v>4053</v>
      </c>
      <c r="B1020" s="0" t="s">
        <v>4053</v>
      </c>
      <c r="C1020" s="0" t="s">
        <v>4054</v>
      </c>
      <c r="D1020" s="0" t="s">
        <v>27</v>
      </c>
      <c r="E1020" s="0" t="s">
        <v>4040</v>
      </c>
      <c r="F1020" s="0" t="s">
        <v>1298</v>
      </c>
      <c r="G1020" s="0" t="s">
        <v>4053</v>
      </c>
      <c r="H1020" s="0" t="s">
        <v>4053</v>
      </c>
      <c r="I1020" s="0" t="s">
        <v>615</v>
      </c>
      <c r="J1020" s="0" t="s">
        <v>615</v>
      </c>
      <c r="K1020" s="0" t="s">
        <v>780</v>
      </c>
      <c r="L1020" s="0" t="s">
        <v>32</v>
      </c>
      <c r="M1020" s="0" t="s">
        <v>33</v>
      </c>
      <c r="N1020" s="0" t="s">
        <v>243</v>
      </c>
      <c r="O1020" s="0" t="s">
        <v>35</v>
      </c>
      <c r="P1020" s="0" t="s">
        <v>39</v>
      </c>
      <c r="Q1020" s="0" t="s">
        <v>4055</v>
      </c>
      <c r="R1020" s="0" t="s">
        <v>4054</v>
      </c>
      <c r="S1020" s="0" t="s">
        <v>243</v>
      </c>
      <c r="T1020" s="0">
        <f>HYPERLINK("https://storage.sslt.ae/ItemVariation/08DCFA78-C39D-42FE-8861-51217F8F5897/CD4452A2-1958-4048-AFC9-A4C715426F0B.png","Variant Image")</f>
      </c>
      <c r="U1020" s="0">
        <f>HYPERLINK("https://ec-qa-storage.kldlms.com/Item/08DCFA78-C39D-42FE-8861-51217F8F5897/B28F8F43-89CC-4B81-B140-6937679A24D4.png","Thumbnail Image")</f>
      </c>
      <c r="V1020" s="0">
        <f>HYPERLINK("https://ec-qa-storage.kldlms.com/ItemGallery/08DCFA78-C39D-42FE-8861-51217F8F5897/498C4C54-4476-44DF-8452-DEA64C23E018.png","Gallery Image ")</f>
      </c>
      <c r="W1020" s="0" t="s">
        <v>22</v>
      </c>
      <c r="X1020" s="0" t="s">
        <v>4056</v>
      </c>
    </row>
    <row r="1021">
      <c r="A1021" s="0" t="s">
        <v>4057</v>
      </c>
      <c r="B1021" s="0" t="s">
        <v>4057</v>
      </c>
      <c r="C1021" s="0" t="s">
        <v>4058</v>
      </c>
      <c r="D1021" s="0" t="s">
        <v>27</v>
      </c>
      <c r="E1021" s="0" t="s">
        <v>4040</v>
      </c>
      <c r="F1021" s="0" t="s">
        <v>1298</v>
      </c>
      <c r="G1021" s="0" t="s">
        <v>4057</v>
      </c>
      <c r="H1021" s="0" t="s">
        <v>4057</v>
      </c>
      <c r="I1021" s="0" t="s">
        <v>615</v>
      </c>
      <c r="J1021" s="0" t="s">
        <v>615</v>
      </c>
      <c r="K1021" s="0" t="s">
        <v>4059</v>
      </c>
      <c r="L1021" s="0" t="s">
        <v>32</v>
      </c>
      <c r="M1021" s="0" t="s">
        <v>33</v>
      </c>
      <c r="N1021" s="0" t="s">
        <v>243</v>
      </c>
      <c r="O1021" s="0" t="s">
        <v>35</v>
      </c>
      <c r="P1021" s="0" t="s">
        <v>39</v>
      </c>
      <c r="Q1021" s="0" t="s">
        <v>4060</v>
      </c>
      <c r="R1021" s="0" t="s">
        <v>4058</v>
      </c>
      <c r="S1021" s="0" t="s">
        <v>243</v>
      </c>
      <c r="T1021" s="0">
        <f>HYPERLINK("https://storage.sslt.ae/ItemVariation/08DCFA78-C46F-4488-87A8-B1BA22C74174/A0B2B8B6-52F6-4DBD-AAC2-EFE1F9009333.png","Variant Image")</f>
      </c>
      <c r="U1021" s="0">
        <f>HYPERLINK("https://ec-qa-storage.kldlms.com/Item/08DCFA78-C46F-4488-87A8-B1BA22C74174/E9396AD5-E70E-427C-99F8-9D847CD08D2C.png","Thumbnail Image")</f>
      </c>
      <c r="V1021" s="0">
        <f>HYPERLINK("https://ec-qa-storage.kldlms.com/ItemGallery/08DCFA78-C46F-4488-87A8-B1BA22C74174/34D1866B-B8D4-44B0-990A-FC19A4BEF753.png","Gallery Image ")</f>
      </c>
      <c r="W1021" s="0" t="s">
        <v>22</v>
      </c>
      <c r="X1021" s="0" t="s">
        <v>4061</v>
      </c>
    </row>
    <row r="1022">
      <c r="A1022" s="0" t="s">
        <v>4062</v>
      </c>
      <c r="B1022" s="0" t="s">
        <v>4062</v>
      </c>
      <c r="C1022" s="0" t="s">
        <v>4063</v>
      </c>
      <c r="D1022" s="0" t="s">
        <v>27</v>
      </c>
      <c r="E1022" s="0" t="s">
        <v>4040</v>
      </c>
      <c r="F1022" s="0" t="s">
        <v>1298</v>
      </c>
      <c r="G1022" s="0" t="s">
        <v>4062</v>
      </c>
      <c r="H1022" s="0" t="s">
        <v>4062</v>
      </c>
      <c r="I1022" s="0" t="s">
        <v>615</v>
      </c>
      <c r="J1022" s="0" t="s">
        <v>615</v>
      </c>
      <c r="K1022" s="0" t="s">
        <v>4064</v>
      </c>
      <c r="L1022" s="0" t="s">
        <v>32</v>
      </c>
      <c r="M1022" s="0" t="s">
        <v>33</v>
      </c>
      <c r="N1022" s="0" t="s">
        <v>4065</v>
      </c>
      <c r="O1022" s="0" t="s">
        <v>35</v>
      </c>
      <c r="P1022" s="0" t="s">
        <v>39</v>
      </c>
      <c r="Q1022" s="0" t="s">
        <v>4066</v>
      </c>
      <c r="R1022" s="0" t="s">
        <v>4063</v>
      </c>
      <c r="S1022" s="0" t="s">
        <v>4065</v>
      </c>
      <c r="T1022" s="0">
        <f>HYPERLINK("https://storage.sslt.ae/ItemVariation/08DCFA78-C4CC-480A-8B99-43D4617D47F3/EE00EA67-4F4F-4DD9-8434-90A04299C5BC.png","Variant Image")</f>
      </c>
      <c r="U1022" s="0">
        <f>HYPERLINK("https://ec-qa-storage.kldlms.com/Item/08DCFA78-C4CC-480A-8B99-43D4617D47F3/D0A68D8A-9D34-41B0-B274-ED62BEF83313.png","Thumbnail Image")</f>
      </c>
      <c r="V1022" s="0">
        <f>HYPERLINK("https://ec-qa-storage.kldlms.com/ItemGallery/08DCFA78-C4CC-480A-8B99-43D4617D47F3/8BC2D71D-150D-4CDB-BA63-0180F2C29A10.png","Gallery Image ")</f>
      </c>
      <c r="W1022" s="0" t="s">
        <v>22</v>
      </c>
      <c r="X1022" s="0" t="s">
        <v>4067</v>
      </c>
    </row>
    <row r="1023">
      <c r="A1023" s="0" t="s">
        <v>4068</v>
      </c>
      <c r="B1023" s="0" t="s">
        <v>4068</v>
      </c>
      <c r="C1023" s="0" t="s">
        <v>4069</v>
      </c>
      <c r="D1023" s="0" t="s">
        <v>27</v>
      </c>
      <c r="E1023" s="0" t="s">
        <v>4040</v>
      </c>
      <c r="F1023" s="0" t="s">
        <v>1298</v>
      </c>
      <c r="G1023" s="0" t="s">
        <v>4068</v>
      </c>
      <c r="H1023" s="0" t="s">
        <v>4068</v>
      </c>
      <c r="I1023" s="0" t="s">
        <v>615</v>
      </c>
      <c r="J1023" s="0" t="s">
        <v>615</v>
      </c>
      <c r="K1023" s="0" t="s">
        <v>4070</v>
      </c>
      <c r="L1023" s="0" t="s">
        <v>32</v>
      </c>
      <c r="M1023" s="0" t="s">
        <v>33</v>
      </c>
      <c r="N1023" s="0" t="s">
        <v>254</v>
      </c>
      <c r="O1023" s="0" t="s">
        <v>35</v>
      </c>
      <c r="P1023" s="0" t="s">
        <v>39</v>
      </c>
      <c r="Q1023" s="0" t="s">
        <v>4071</v>
      </c>
      <c r="R1023" s="0" t="s">
        <v>4069</v>
      </c>
      <c r="S1023" s="0" t="s">
        <v>254</v>
      </c>
      <c r="T1023" s="0">
        <f>HYPERLINK("https://storage.sslt.ae/ItemVariation/08DCFA78-C527-4568-8F61-3DD1F4063534/D1E931B0-A371-401E-A104-69AE49771F10.png","Variant Image")</f>
      </c>
      <c r="U1023" s="0">
        <f>HYPERLINK("https://ec-qa-storage.kldlms.com/Item/08DCFA78-C527-4568-8F61-3DD1F4063534/9E440095-79B1-4EA3-BAE3-E56D07CC2303.png","Thumbnail Image")</f>
      </c>
      <c r="V1023" s="0">
        <f>HYPERLINK("https://ec-qa-storage.kldlms.com/ItemGallery/08DCFA78-C527-4568-8F61-3DD1F4063534/7D1862C6-FCF5-4DB8-ADBE-F7EDBE80188A.png","Gallery Image ")</f>
      </c>
      <c r="W1023" s="0" t="s">
        <v>22</v>
      </c>
      <c r="X1023" s="0" t="s">
        <v>4072</v>
      </c>
    </row>
    <row r="1024">
      <c r="A1024" s="0" t="s">
        <v>2428</v>
      </c>
      <c r="B1024" s="0" t="s">
        <v>2428</v>
      </c>
      <c r="C1024" s="0" t="s">
        <v>4073</v>
      </c>
      <c r="D1024" s="0" t="s">
        <v>27</v>
      </c>
      <c r="E1024" s="0" t="s">
        <v>4074</v>
      </c>
      <c r="F1024" s="0" t="s">
        <v>3886</v>
      </c>
      <c r="G1024" s="0" t="s">
        <v>2428</v>
      </c>
      <c r="H1024" s="0" t="s">
        <v>2428</v>
      </c>
      <c r="I1024" s="0" t="s">
        <v>615</v>
      </c>
      <c r="J1024" s="0" t="s">
        <v>615</v>
      </c>
      <c r="K1024" s="0" t="s">
        <v>4075</v>
      </c>
      <c r="L1024" s="0" t="s">
        <v>32</v>
      </c>
      <c r="M1024" s="0" t="s">
        <v>33</v>
      </c>
      <c r="N1024" s="0" t="s">
        <v>1449</v>
      </c>
      <c r="O1024" s="0" t="s">
        <v>35</v>
      </c>
      <c r="P1024" s="0" t="s">
        <v>39</v>
      </c>
      <c r="Q1024" s="0" t="s">
        <v>4076</v>
      </c>
      <c r="R1024" s="0" t="s">
        <v>4073</v>
      </c>
      <c r="S1024" s="0" t="s">
        <v>1449</v>
      </c>
      <c r="T1024" s="0">
        <f>HYPERLINK("https://storage.sslt.ae/ItemVariation/08DCFA78-C584-4689-8BC8-8E18F690CB4F/9E70E965-2A58-4F63-B780-CA390D101DCE.png","Variant Image")</f>
      </c>
      <c r="U1024" s="0">
        <f>HYPERLINK("https://ec-qa-storage.kldlms.com/Item/08DCFA78-C584-4689-8BC8-8E18F690CB4F/434522B9-9831-41A4-8310-9191F808BD83.png","Thumbnail Image")</f>
      </c>
      <c r="V1024" s="0">
        <f>HYPERLINK("https://ec-qa-storage.kldlms.com/ItemGallery/08DCFA78-C584-4689-8BC8-8E18F690CB4F/E68BBE21-3416-4759-A7B5-BDCE985934F3.png","Gallery Image ")</f>
      </c>
      <c r="W1024" s="0" t="s">
        <v>22</v>
      </c>
      <c r="X1024" s="0" t="s">
        <v>4077</v>
      </c>
    </row>
    <row r="1025">
      <c r="A1025" s="0" t="s">
        <v>4078</v>
      </c>
      <c r="B1025" s="0" t="s">
        <v>4078</v>
      </c>
      <c r="C1025" s="0" t="s">
        <v>4079</v>
      </c>
      <c r="D1025" s="0" t="s">
        <v>27</v>
      </c>
      <c r="E1025" s="0" t="s">
        <v>4074</v>
      </c>
      <c r="F1025" s="0" t="s">
        <v>3886</v>
      </c>
      <c r="G1025" s="0" t="s">
        <v>4078</v>
      </c>
      <c r="H1025" s="0" t="s">
        <v>4078</v>
      </c>
      <c r="I1025" s="0" t="s">
        <v>615</v>
      </c>
      <c r="J1025" s="0" t="s">
        <v>615</v>
      </c>
      <c r="K1025" s="0" t="s">
        <v>4080</v>
      </c>
      <c r="L1025" s="0" t="s">
        <v>32</v>
      </c>
      <c r="M1025" s="0" t="s">
        <v>33</v>
      </c>
      <c r="N1025" s="0" t="s">
        <v>2210</v>
      </c>
      <c r="O1025" s="0" t="s">
        <v>35</v>
      </c>
      <c r="P1025" s="0" t="s">
        <v>39</v>
      </c>
      <c r="Q1025" s="0" t="s">
        <v>4081</v>
      </c>
      <c r="R1025" s="0" t="s">
        <v>4079</v>
      </c>
      <c r="S1025" s="0" t="s">
        <v>2210</v>
      </c>
      <c r="T1025" s="0">
        <f>HYPERLINK("https://storage.sslt.ae/ItemVariation/08DCFA78-C5DF-4BDE-89F9-5B7E1DC95C60/5B1FEC8F-140A-4657-B874-D2C5783E785B.png","Variant Image")</f>
      </c>
      <c r="U1025" s="0">
        <f>HYPERLINK("https://ec-qa-storage.kldlms.com/Item/08DCFA78-C5DF-4BDE-89F9-5B7E1DC95C60/105F89EC-9AB8-49E3-8381-B603E0A2A8A2.png","Thumbnail Image")</f>
      </c>
      <c r="V1025" s="0">
        <f>HYPERLINK("https://ec-qa-storage.kldlms.com/ItemGallery/08DCFA78-C5DF-4BDE-89F9-5B7E1DC95C60/BED9413E-4A9A-44AA-8433-5A18A65BAA06.png","Gallery Image ")</f>
      </c>
      <c r="W1025" s="0" t="s">
        <v>22</v>
      </c>
      <c r="X1025" s="0" t="s">
        <v>4082</v>
      </c>
    </row>
    <row r="1026">
      <c r="A1026" s="0" t="s">
        <v>4083</v>
      </c>
      <c r="B1026" s="0" t="s">
        <v>4083</v>
      </c>
      <c r="C1026" s="0" t="s">
        <v>4084</v>
      </c>
      <c r="D1026" s="0" t="s">
        <v>27</v>
      </c>
      <c r="E1026" s="0" t="s">
        <v>4074</v>
      </c>
      <c r="F1026" s="0" t="s">
        <v>3886</v>
      </c>
      <c r="G1026" s="0" t="s">
        <v>4083</v>
      </c>
      <c r="H1026" s="0" t="s">
        <v>4083</v>
      </c>
      <c r="I1026" s="0" t="s">
        <v>615</v>
      </c>
      <c r="J1026" s="0" t="s">
        <v>615</v>
      </c>
      <c r="K1026" s="0" t="s">
        <v>4085</v>
      </c>
      <c r="L1026" s="0" t="s">
        <v>32</v>
      </c>
      <c r="M1026" s="0" t="s">
        <v>33</v>
      </c>
      <c r="N1026" s="0" t="s">
        <v>854</v>
      </c>
      <c r="O1026" s="0" t="s">
        <v>35</v>
      </c>
      <c r="P1026" s="0" t="s">
        <v>39</v>
      </c>
      <c r="Q1026" s="0" t="s">
        <v>4086</v>
      </c>
      <c r="R1026" s="0" t="s">
        <v>4084</v>
      </c>
      <c r="S1026" s="0" t="s">
        <v>854</v>
      </c>
      <c r="T1026" s="0">
        <f>HYPERLINK("https://storage.sslt.ae/ItemVariation/08DCFA78-C63D-40BB-876C-9B08FA47D1E6/E2B06CC4-6F5A-4CB8-9F41-B939EB850F3A.png","Variant Image")</f>
      </c>
      <c r="U1026" s="0">
        <f>HYPERLINK("https://ec-qa-storage.kldlms.com/Item/08DCFA78-C63D-40BB-876C-9B08FA47D1E6/7D0D88DE-803C-47E1-A610-BBA83BA2E2C3.png","Thumbnail Image")</f>
      </c>
      <c r="V1026" s="0">
        <f>HYPERLINK("https://ec-qa-storage.kldlms.com/ItemGallery/08DCFA78-C63D-40BB-876C-9B08FA47D1E6/18FB9A84-CC02-47B5-850B-82B6BEBB91C2.png","Gallery Image ")</f>
      </c>
      <c r="W1026" s="0" t="s">
        <v>22</v>
      </c>
      <c r="X1026" s="0" t="s">
        <v>4087</v>
      </c>
    </row>
    <row r="1027">
      <c r="A1027" s="0" t="s">
        <v>4088</v>
      </c>
      <c r="B1027" s="0" t="s">
        <v>4088</v>
      </c>
      <c r="C1027" s="0" t="s">
        <v>4089</v>
      </c>
      <c r="D1027" s="0" t="s">
        <v>27</v>
      </c>
      <c r="E1027" s="0" t="s">
        <v>4074</v>
      </c>
      <c r="F1027" s="0" t="s">
        <v>3886</v>
      </c>
      <c r="G1027" s="0" t="s">
        <v>4088</v>
      </c>
      <c r="H1027" s="0" t="s">
        <v>4088</v>
      </c>
      <c r="I1027" s="0" t="s">
        <v>615</v>
      </c>
      <c r="J1027" s="0" t="s">
        <v>615</v>
      </c>
      <c r="K1027" s="0" t="s">
        <v>4090</v>
      </c>
      <c r="L1027" s="0" t="s">
        <v>32</v>
      </c>
      <c r="M1027" s="0" t="s">
        <v>33</v>
      </c>
      <c r="N1027" s="0" t="s">
        <v>995</v>
      </c>
      <c r="O1027" s="0" t="s">
        <v>35</v>
      </c>
      <c r="P1027" s="0" t="s">
        <v>39</v>
      </c>
      <c r="Q1027" s="0" t="s">
        <v>4091</v>
      </c>
      <c r="R1027" s="0" t="s">
        <v>4089</v>
      </c>
      <c r="S1027" s="0" t="s">
        <v>995</v>
      </c>
      <c r="T1027" s="0">
        <f>HYPERLINK("https://storage.sslt.ae/ItemVariation/08DCFA78-C697-4F33-8911-DE63FFF83F2E/3815619A-D1E4-422C-AE37-A468182DFF02.png","Variant Image")</f>
      </c>
      <c r="U1027" s="0">
        <f>HYPERLINK("https://ec-qa-storage.kldlms.com/Item/08DCFA78-C697-4F33-8911-DE63FFF83F2E/32A17A26-B194-43AC-99EB-6A863C84F7B8.png","Thumbnail Image")</f>
      </c>
      <c r="V1027" s="0">
        <f>HYPERLINK("https://ec-qa-storage.kldlms.com/ItemGallery/08DCFA78-C697-4F33-8911-DE63FFF83F2E/7D7CEF53-C812-4584-98B1-42EC8F13C423.png","Gallery Image ")</f>
      </c>
      <c r="W1027" s="0" t="s">
        <v>22</v>
      </c>
      <c r="X1027" s="0" t="s">
        <v>4092</v>
      </c>
    </row>
    <row r="1028">
      <c r="A1028" s="0" t="s">
        <v>4093</v>
      </c>
      <c r="B1028" s="0" t="s">
        <v>4093</v>
      </c>
      <c r="C1028" s="0" t="s">
        <v>4094</v>
      </c>
      <c r="D1028" s="0" t="s">
        <v>27</v>
      </c>
      <c r="E1028" s="0" t="s">
        <v>4074</v>
      </c>
      <c r="F1028" s="0" t="s">
        <v>3886</v>
      </c>
      <c r="G1028" s="0" t="s">
        <v>4093</v>
      </c>
      <c r="H1028" s="0" t="s">
        <v>4093</v>
      </c>
      <c r="I1028" s="0" t="s">
        <v>615</v>
      </c>
      <c r="J1028" s="0" t="s">
        <v>615</v>
      </c>
      <c r="K1028" s="0" t="s">
        <v>4095</v>
      </c>
      <c r="L1028" s="0" t="s">
        <v>32</v>
      </c>
      <c r="M1028" s="0" t="s">
        <v>33</v>
      </c>
      <c r="N1028" s="0" t="s">
        <v>851</v>
      </c>
      <c r="O1028" s="0" t="s">
        <v>35</v>
      </c>
      <c r="P1028" s="0" t="s">
        <v>39</v>
      </c>
      <c r="Q1028" s="0" t="s">
        <v>4096</v>
      </c>
      <c r="R1028" s="0" t="s">
        <v>4094</v>
      </c>
      <c r="S1028" s="0" t="s">
        <v>851</v>
      </c>
      <c r="T1028" s="0">
        <f>HYPERLINK("https://storage.sslt.ae/ItemVariation/08DCFA78-C6F5-4B49-8798-56AC8FA3D892/9F24032B-B5C1-4041-8224-503833118C10.png","Variant Image")</f>
      </c>
      <c r="U1028" s="0">
        <f>HYPERLINK("https://ec-qa-storage.kldlms.com/Item/08DCFA78-C6F5-4B49-8798-56AC8FA3D892/94A49984-846F-45F4-988A-4F7DA02CD250.png","Thumbnail Image")</f>
      </c>
      <c r="V1028" s="0">
        <f>HYPERLINK("https://ec-qa-storage.kldlms.com/ItemGallery/08DCFA78-C6F5-4B49-8798-56AC8FA3D892/6AA133B3-9F1A-4A42-AFC6-DE4ABB4E1F8F.png","Gallery Image ")</f>
      </c>
      <c r="W1028" s="0" t="s">
        <v>22</v>
      </c>
      <c r="X1028" s="0" t="s">
        <v>4097</v>
      </c>
    </row>
    <row r="1029">
      <c r="A1029" s="0" t="s">
        <v>4098</v>
      </c>
      <c r="B1029" s="0" t="s">
        <v>4098</v>
      </c>
      <c r="C1029" s="0" t="s">
        <v>4099</v>
      </c>
      <c r="D1029" s="0" t="s">
        <v>27</v>
      </c>
      <c r="E1029" s="0" t="s">
        <v>4074</v>
      </c>
      <c r="F1029" s="0" t="s">
        <v>3886</v>
      </c>
      <c r="G1029" s="0" t="s">
        <v>4098</v>
      </c>
      <c r="H1029" s="0" t="s">
        <v>4098</v>
      </c>
      <c r="I1029" s="0" t="s">
        <v>615</v>
      </c>
      <c r="J1029" s="0" t="s">
        <v>615</v>
      </c>
      <c r="K1029" s="0" t="s">
        <v>3750</v>
      </c>
      <c r="L1029" s="0" t="s">
        <v>32</v>
      </c>
      <c r="M1029" s="0" t="s">
        <v>33</v>
      </c>
      <c r="N1029" s="0" t="s">
        <v>223</v>
      </c>
      <c r="O1029" s="0" t="s">
        <v>35</v>
      </c>
      <c r="P1029" s="0" t="s">
        <v>39</v>
      </c>
      <c r="Q1029" s="0" t="s">
        <v>3751</v>
      </c>
      <c r="R1029" s="0" t="s">
        <v>4099</v>
      </c>
      <c r="S1029" s="0" t="s">
        <v>223</v>
      </c>
      <c r="T1029" s="0">
        <f>HYPERLINK("https://storage.sslt.ae/ItemVariation/08DCFA78-C752-40BD-893C-4814406E17D9/A40340C4-DFB1-46DA-BCDB-F189EC61FAA1.png","Variant Image")</f>
      </c>
      <c r="U1029" s="0">
        <f>HYPERLINK("https://ec-qa-storage.kldlms.com/Item/08DCFA78-C752-40BD-893C-4814406E17D9/397153CF-257E-4530-B801-F6850FBDD850.png","Thumbnail Image")</f>
      </c>
      <c r="V1029" s="0">
        <f>HYPERLINK("https://ec-qa-storage.kldlms.com/ItemGallery/08DCFA78-C752-40BD-893C-4814406E17D9/5E4584FC-9B60-49D8-ACFB-C6B9E62A01BA.png","Gallery Image ")</f>
      </c>
      <c r="W1029" s="0" t="s">
        <v>22</v>
      </c>
      <c r="X1029" s="0" t="s">
        <v>4100</v>
      </c>
    </row>
    <row r="1030">
      <c r="A1030" s="0" t="s">
        <v>4101</v>
      </c>
      <c r="B1030" s="0" t="s">
        <v>4101</v>
      </c>
      <c r="C1030" s="0" t="s">
        <v>4102</v>
      </c>
      <c r="D1030" s="0" t="s">
        <v>27</v>
      </c>
      <c r="E1030" s="0" t="s">
        <v>4040</v>
      </c>
      <c r="F1030" s="0" t="s">
        <v>1298</v>
      </c>
      <c r="G1030" s="0" t="s">
        <v>4101</v>
      </c>
      <c r="H1030" s="0" t="s">
        <v>4101</v>
      </c>
      <c r="I1030" s="0" t="s">
        <v>615</v>
      </c>
      <c r="J1030" s="0" t="s">
        <v>615</v>
      </c>
      <c r="K1030" s="0" t="s">
        <v>3287</v>
      </c>
      <c r="L1030" s="0" t="s">
        <v>32</v>
      </c>
      <c r="M1030" s="0" t="s">
        <v>33</v>
      </c>
      <c r="N1030" s="0" t="s">
        <v>3855</v>
      </c>
      <c r="O1030" s="0" t="s">
        <v>35</v>
      </c>
      <c r="P1030" s="0" t="s">
        <v>39</v>
      </c>
      <c r="Q1030" s="0" t="s">
        <v>3288</v>
      </c>
      <c r="R1030" s="0" t="s">
        <v>4102</v>
      </c>
      <c r="S1030" s="0" t="s">
        <v>3855</v>
      </c>
      <c r="T1030" s="0">
        <f>HYPERLINK("https://storage.sslt.ae/ItemVariation/08DCFA78-C7AB-48BF-803A-1AE321BE3E73/0CC7AA71-B70F-4C44-A787-E4023449C0B2.png","Variant Image")</f>
      </c>
      <c r="U1030" s="0">
        <f>HYPERLINK("https://ec-qa-storage.kldlms.com/Item/08DCFA78-C7AB-48BF-803A-1AE321BE3E73/46D7E053-A5AE-4E1D-8332-57883EDFDCF4.png","Thumbnail Image")</f>
      </c>
      <c r="V1030" s="0">
        <f>HYPERLINK("https://ec-qa-storage.kldlms.com/ItemGallery/08DCFA78-C7AB-48BF-803A-1AE321BE3E73/8317BE23-69EC-47B6-9F14-6E63128328C4.png","Gallery Image ")</f>
      </c>
      <c r="W1030" s="0" t="s">
        <v>22</v>
      </c>
      <c r="X1030" s="0" t="s">
        <v>4103</v>
      </c>
    </row>
    <row r="1031">
      <c r="A1031" s="0" t="s">
        <v>4104</v>
      </c>
      <c r="B1031" s="0" t="s">
        <v>4104</v>
      </c>
      <c r="C1031" s="0" t="s">
        <v>4105</v>
      </c>
      <c r="D1031" s="0" t="s">
        <v>27</v>
      </c>
      <c r="E1031" s="0" t="s">
        <v>4040</v>
      </c>
      <c r="F1031" s="0" t="s">
        <v>1298</v>
      </c>
      <c r="G1031" s="0" t="s">
        <v>4104</v>
      </c>
      <c r="H1031" s="0" t="s">
        <v>4104</v>
      </c>
      <c r="I1031" s="0" t="s">
        <v>615</v>
      </c>
      <c r="J1031" s="0" t="s">
        <v>615</v>
      </c>
      <c r="K1031" s="0" t="s">
        <v>4106</v>
      </c>
      <c r="L1031" s="0" t="s">
        <v>32</v>
      </c>
      <c r="M1031" s="0" t="s">
        <v>33</v>
      </c>
      <c r="N1031" s="0" t="s">
        <v>110</v>
      </c>
      <c r="O1031" s="0" t="s">
        <v>35</v>
      </c>
      <c r="P1031" s="0" t="s">
        <v>39</v>
      </c>
      <c r="Q1031" s="0" t="s">
        <v>4107</v>
      </c>
      <c r="R1031" s="0" t="s">
        <v>4105</v>
      </c>
      <c r="S1031" s="0" t="s">
        <v>110</v>
      </c>
      <c r="T1031" s="0">
        <f>HYPERLINK("https://storage.sslt.ae/ItemVariation/08DCFA78-C808-4716-81F9-942F8EC91260/5387653B-FDA0-4D18-8F33-CCA30BCD93B7.png","Variant Image")</f>
      </c>
      <c r="U1031" s="0">
        <f>HYPERLINK("https://ec-qa-storage.kldlms.com/Item/08DCFA78-C808-4716-81F9-942F8EC91260/0AFC6AE1-13E6-4F67-A4FC-9094CA65EC95.png","Thumbnail Image")</f>
      </c>
      <c r="V1031" s="0">
        <f>HYPERLINK("https://ec-qa-storage.kldlms.com/ItemGallery/08DCFA78-C808-4716-81F9-942F8EC91260/47768158-64E7-4A0B-8F6C-C1AF611CB277.png","Gallery Image ")</f>
      </c>
      <c r="W1031" s="0" t="s">
        <v>22</v>
      </c>
      <c r="X1031" s="0" t="s">
        <v>4108</v>
      </c>
    </row>
    <row r="1032">
      <c r="A1032" s="0" t="s">
        <v>4109</v>
      </c>
      <c r="B1032" s="0" t="s">
        <v>4109</v>
      </c>
      <c r="C1032" s="0" t="s">
        <v>4110</v>
      </c>
      <c r="D1032" s="0" t="s">
        <v>27</v>
      </c>
      <c r="E1032" s="0" t="s">
        <v>4040</v>
      </c>
      <c r="F1032" s="0" t="s">
        <v>1298</v>
      </c>
      <c r="G1032" s="0" t="s">
        <v>4109</v>
      </c>
      <c r="H1032" s="0" t="s">
        <v>4109</v>
      </c>
      <c r="I1032" s="0" t="s">
        <v>615</v>
      </c>
      <c r="J1032" s="0" t="s">
        <v>615</v>
      </c>
      <c r="K1032" s="0" t="s">
        <v>4111</v>
      </c>
      <c r="L1032" s="0" t="s">
        <v>32</v>
      </c>
      <c r="M1032" s="0" t="s">
        <v>33</v>
      </c>
      <c r="N1032" s="0" t="s">
        <v>349</v>
      </c>
      <c r="O1032" s="0" t="s">
        <v>35</v>
      </c>
      <c r="P1032" s="0" t="s">
        <v>39</v>
      </c>
      <c r="Q1032" s="0" t="s">
        <v>4112</v>
      </c>
      <c r="R1032" s="0" t="s">
        <v>4110</v>
      </c>
      <c r="S1032" s="0" t="s">
        <v>349</v>
      </c>
      <c r="T1032" s="0">
        <f>HYPERLINK("https://storage.sslt.ae/ItemVariation/08DCFA78-C863-4F0A-8F81-6592ED3CF70C/52196E1C-231F-4A01-997B-A5CF8566E4FE.png","Variant Image")</f>
      </c>
      <c r="U1032" s="0">
        <f>HYPERLINK("https://ec-qa-storage.kldlms.com/Item/08DCFA78-C863-4F0A-8F81-6592ED3CF70C/1E1DE1A6-5CDB-4059-B87F-5EF7AB06F76F.png","Thumbnail Image")</f>
      </c>
      <c r="V1032" s="0">
        <f>HYPERLINK("https://ec-qa-storage.kldlms.com/ItemGallery/08DCFA78-C863-4F0A-8F81-6592ED3CF70C/EA8218F8-7819-4F2E-90DA-9577E645AC07.png","Gallery Image ")</f>
      </c>
      <c r="W1032" s="0" t="s">
        <v>22</v>
      </c>
      <c r="X1032" s="0" t="s">
        <v>4113</v>
      </c>
    </row>
    <row r="1033">
      <c r="A1033" s="0" t="s">
        <v>4114</v>
      </c>
      <c r="B1033" s="0" t="s">
        <v>4114</v>
      </c>
      <c r="C1033" s="0" t="s">
        <v>4115</v>
      </c>
      <c r="D1033" s="0" t="s">
        <v>27</v>
      </c>
      <c r="E1033" s="0" t="s">
        <v>4040</v>
      </c>
      <c r="F1033" s="0" t="s">
        <v>1298</v>
      </c>
      <c r="G1033" s="0" t="s">
        <v>4114</v>
      </c>
      <c r="H1033" s="0" t="s">
        <v>4114</v>
      </c>
      <c r="I1033" s="0" t="s">
        <v>615</v>
      </c>
      <c r="J1033" s="0" t="s">
        <v>615</v>
      </c>
      <c r="K1033" s="0" t="s">
        <v>4116</v>
      </c>
      <c r="L1033" s="0" t="s">
        <v>32</v>
      </c>
      <c r="M1033" s="0" t="s">
        <v>33</v>
      </c>
      <c r="N1033" s="0" t="s">
        <v>787</v>
      </c>
      <c r="O1033" s="0" t="s">
        <v>35</v>
      </c>
      <c r="P1033" s="0" t="s">
        <v>39</v>
      </c>
      <c r="Q1033" s="0" t="s">
        <v>4117</v>
      </c>
      <c r="R1033" s="0" t="s">
        <v>4115</v>
      </c>
      <c r="S1033" s="0" t="s">
        <v>787</v>
      </c>
      <c r="T1033" s="0">
        <f>HYPERLINK("https://storage.sslt.ae/ItemVariation/08DCFA78-C8C0-4E21-86C4-4A542355E1D5/FF3B4EA6-E400-4E62-98C8-29ED7B082FC8.png","Variant Image")</f>
      </c>
      <c r="U1033" s="0">
        <f>HYPERLINK("https://ec-qa-storage.kldlms.com/Item/08DCFA78-C8C0-4E21-86C4-4A542355E1D5/A06EDC9E-301A-4A0E-BFB5-6E9D3CA6CD56.png","Thumbnail Image")</f>
      </c>
      <c r="V1033" s="0">
        <f>HYPERLINK("https://ec-qa-storage.kldlms.com/ItemGallery/08DCFA78-C8C0-4E21-86C4-4A542355E1D5/26A5815B-3BC5-4386-8F4A-E19BF6CCE595.png","Gallery Image ")</f>
      </c>
      <c r="W1033" s="0" t="s">
        <v>22</v>
      </c>
      <c r="X1033" s="0" t="s">
        <v>4118</v>
      </c>
    </row>
    <row r="1034">
      <c r="A1034" s="0" t="s">
        <v>4119</v>
      </c>
      <c r="B1034" s="0" t="s">
        <v>4119</v>
      </c>
      <c r="C1034" s="0" t="s">
        <v>4120</v>
      </c>
      <c r="D1034" s="0" t="s">
        <v>27</v>
      </c>
      <c r="E1034" s="0" t="s">
        <v>4121</v>
      </c>
      <c r="F1034" s="0" t="s">
        <v>80</v>
      </c>
      <c r="G1034" s="0" t="s">
        <v>4119</v>
      </c>
      <c r="H1034" s="0" t="s">
        <v>4119</v>
      </c>
      <c r="I1034" s="0" t="s">
        <v>615</v>
      </c>
      <c r="J1034" s="0" t="s">
        <v>615</v>
      </c>
      <c r="K1034" s="0" t="s">
        <v>4122</v>
      </c>
      <c r="L1034" s="0" t="s">
        <v>32</v>
      </c>
      <c r="M1034" s="0" t="s">
        <v>33</v>
      </c>
      <c r="N1034" s="0" t="s">
        <v>35</v>
      </c>
      <c r="O1034" s="0" t="s">
        <v>35</v>
      </c>
      <c r="P1034" s="0" t="s">
        <v>39</v>
      </c>
      <c r="Q1034" s="0" t="s">
        <v>4123</v>
      </c>
      <c r="R1034" s="0" t="s">
        <v>4120</v>
      </c>
      <c r="S1034" s="0" t="s">
        <v>35</v>
      </c>
      <c r="T1034" s="0">
        <f>HYPERLINK("https://storage.sslt.ae/ItemVariation/08DCFA78-C91B-4F93-8F16-AA8BB89270F6/BA51E3C5-D42B-4F08-8DD8-E3DDFE664A2B.png","Variant Image")</f>
      </c>
      <c r="U1034" s="0">
        <f>HYPERLINK("https://ec-qa-storage.kldlms.com/Item/08DCFA78-C91B-4F93-8F16-AA8BB89270F6/758D3BAE-83D8-432F-A552-6DECC3C39E0D.png","Thumbnail Image")</f>
      </c>
      <c r="V1034" s="0">
        <f>HYPERLINK("https://ec-qa-storage.kldlms.com/ItemGallery/08DCFA78-C91B-4F93-8F16-AA8BB89270F6/91882956-B358-4AC4-86B8-EB8E72894153.png","Gallery Image ")</f>
      </c>
      <c r="W1034" s="0" t="s">
        <v>22</v>
      </c>
      <c r="X1034" s="0" t="s">
        <v>4124</v>
      </c>
    </row>
    <row r="1035">
      <c r="A1035" s="0" t="s">
        <v>4125</v>
      </c>
      <c r="B1035" s="0" t="s">
        <v>4125</v>
      </c>
      <c r="C1035" s="0" t="s">
        <v>4126</v>
      </c>
      <c r="D1035" s="0" t="s">
        <v>27</v>
      </c>
      <c r="E1035" s="0" t="s">
        <v>4074</v>
      </c>
      <c r="F1035" s="0" t="s">
        <v>3886</v>
      </c>
      <c r="G1035" s="0" t="s">
        <v>4125</v>
      </c>
      <c r="H1035" s="0" t="s">
        <v>4125</v>
      </c>
      <c r="I1035" s="0" t="s">
        <v>615</v>
      </c>
      <c r="J1035" s="0" t="s">
        <v>615</v>
      </c>
      <c r="K1035" s="0" t="s">
        <v>4127</v>
      </c>
      <c r="L1035" s="0" t="s">
        <v>32</v>
      </c>
      <c r="M1035" s="0" t="s">
        <v>33</v>
      </c>
      <c r="N1035" s="0" t="s">
        <v>205</v>
      </c>
      <c r="O1035" s="0" t="s">
        <v>35</v>
      </c>
      <c r="P1035" s="0" t="s">
        <v>39</v>
      </c>
      <c r="Q1035" s="0" t="s">
        <v>4128</v>
      </c>
      <c r="R1035" s="0" t="s">
        <v>4126</v>
      </c>
      <c r="S1035" s="0" t="s">
        <v>205</v>
      </c>
      <c r="T1035" s="0">
        <f>HYPERLINK("https://storage.sslt.ae/ItemVariation/08DCFA78-C977-4959-8FEA-1748B7A349D9/160D57CC-7E4E-4530-9DCC-5A324BC13A0A.png","Variant Image")</f>
      </c>
      <c r="U1035" s="0">
        <f>HYPERLINK("https://ec-qa-storage.kldlms.com/Item/08DCFA78-C977-4959-8FEA-1748B7A349D9/3E114027-39AC-4FAE-870A-2CEDD937493F.png","Thumbnail Image")</f>
      </c>
      <c r="V1035" s="0">
        <f>HYPERLINK("https://ec-qa-storage.kldlms.com/ItemGallery/08DCFA78-C977-4959-8FEA-1748B7A349D9/A4D3E90C-5D92-43E7-A4ED-494D8AB0DFD3.png","Gallery Image ")</f>
      </c>
      <c r="W1035" s="0" t="s">
        <v>22</v>
      </c>
      <c r="X1035" s="0" t="s">
        <v>4129</v>
      </c>
    </row>
    <row r="1036">
      <c r="A1036" s="0" t="s">
        <v>4130</v>
      </c>
      <c r="B1036" s="0" t="s">
        <v>4130</v>
      </c>
      <c r="C1036" s="0" t="s">
        <v>4131</v>
      </c>
      <c r="D1036" s="0" t="s">
        <v>27</v>
      </c>
      <c r="E1036" s="0" t="s">
        <v>4074</v>
      </c>
      <c r="F1036" s="0" t="s">
        <v>3886</v>
      </c>
      <c r="G1036" s="0" t="s">
        <v>4130</v>
      </c>
      <c r="H1036" s="0" t="s">
        <v>4130</v>
      </c>
      <c r="I1036" s="0" t="s">
        <v>615</v>
      </c>
      <c r="J1036" s="0" t="s">
        <v>615</v>
      </c>
      <c r="K1036" s="0" t="s">
        <v>4132</v>
      </c>
      <c r="L1036" s="0" t="s">
        <v>32</v>
      </c>
      <c r="M1036" s="0" t="s">
        <v>33</v>
      </c>
      <c r="N1036" s="0" t="s">
        <v>787</v>
      </c>
      <c r="O1036" s="0" t="s">
        <v>35</v>
      </c>
      <c r="P1036" s="0" t="s">
        <v>39</v>
      </c>
      <c r="Q1036" s="0" t="s">
        <v>4133</v>
      </c>
      <c r="R1036" s="0" t="s">
        <v>4131</v>
      </c>
      <c r="S1036" s="0" t="s">
        <v>787</v>
      </c>
      <c r="T1036" s="0">
        <f>HYPERLINK("https://storage.sslt.ae/ItemVariation/08DCFA78-C9D4-419F-801D-9E6B105CE0AF/AC7A606B-12B9-41DE-8290-968B4196AE0B.png","Variant Image")</f>
      </c>
      <c r="U1036" s="0">
        <f>HYPERLINK("https://ec-qa-storage.kldlms.com/Item/08DCFA78-C9D4-419F-801D-9E6B105CE0AF/C9980606-B395-40E1-9224-146F2C79CDB5.png","Thumbnail Image")</f>
      </c>
      <c r="V1036" s="0">
        <f>HYPERLINK("https://ec-qa-storage.kldlms.com/ItemGallery/08DCFA78-C9D4-419F-801D-9E6B105CE0AF/FF9D0073-2ACA-47A3-A6D9-1AF6C470E78D.png","Gallery Image ")</f>
      </c>
      <c r="W1036" s="0" t="s">
        <v>22</v>
      </c>
      <c r="X1036" s="0" t="s">
        <v>4134</v>
      </c>
    </row>
    <row r="1037">
      <c r="A1037" s="0" t="s">
        <v>4135</v>
      </c>
      <c r="B1037" s="0" t="s">
        <v>4135</v>
      </c>
      <c r="C1037" s="0" t="s">
        <v>4136</v>
      </c>
      <c r="D1037" s="0" t="s">
        <v>27</v>
      </c>
      <c r="E1037" s="0" t="s">
        <v>4074</v>
      </c>
      <c r="F1037" s="0" t="s">
        <v>3886</v>
      </c>
      <c r="G1037" s="0" t="s">
        <v>4135</v>
      </c>
      <c r="H1037" s="0" t="s">
        <v>4135</v>
      </c>
      <c r="I1037" s="0" t="s">
        <v>615</v>
      </c>
      <c r="J1037" s="0" t="s">
        <v>615</v>
      </c>
      <c r="K1037" s="0" t="s">
        <v>4137</v>
      </c>
      <c r="L1037" s="0" t="s">
        <v>32</v>
      </c>
      <c r="M1037" s="0" t="s">
        <v>33</v>
      </c>
      <c r="N1037" s="0" t="s">
        <v>140</v>
      </c>
      <c r="O1037" s="0" t="s">
        <v>35</v>
      </c>
      <c r="P1037" s="0" t="s">
        <v>39</v>
      </c>
      <c r="Q1037" s="0" t="s">
        <v>4138</v>
      </c>
      <c r="R1037" s="0" t="s">
        <v>4136</v>
      </c>
      <c r="S1037" s="0" t="s">
        <v>140</v>
      </c>
      <c r="T1037" s="0">
        <f>HYPERLINK("https://storage.sslt.ae/ItemVariation/08DCFA78-CA2F-4D11-8115-940EE8D850B1/4543DCB4-CEF4-4F4F-844B-DA9DC1A44A9D.png","Variant Image")</f>
      </c>
      <c r="U1037" s="0">
        <f>HYPERLINK("https://ec-qa-storage.kldlms.com/Item/08DCFA78-CA2F-4D11-8115-940EE8D850B1/81BF6016-1214-4223-B8D2-5DC8CD516B9C.png","Thumbnail Image")</f>
      </c>
      <c r="V1037" s="0">
        <f>HYPERLINK("https://ec-qa-storage.kldlms.com/ItemGallery/08DCFA78-CA2F-4D11-8115-940EE8D850B1/282B49A3-AA4D-4A1A-B1A1-DAC3E2581058.png","Gallery Image ")</f>
      </c>
      <c r="W1037" s="0" t="s">
        <v>22</v>
      </c>
      <c r="X1037" s="0" t="s">
        <v>4139</v>
      </c>
    </row>
    <row r="1038">
      <c r="A1038" s="0" t="s">
        <v>4140</v>
      </c>
      <c r="B1038" s="0" t="s">
        <v>4140</v>
      </c>
      <c r="C1038" s="0" t="s">
        <v>4141</v>
      </c>
      <c r="D1038" s="0" t="s">
        <v>27</v>
      </c>
      <c r="E1038" s="0" t="s">
        <v>3997</v>
      </c>
      <c r="F1038" s="0" t="s">
        <v>58</v>
      </c>
      <c r="G1038" s="0" t="s">
        <v>4140</v>
      </c>
      <c r="H1038" s="0" t="s">
        <v>4140</v>
      </c>
      <c r="I1038" s="0" t="s">
        <v>615</v>
      </c>
      <c r="J1038" s="0" t="s">
        <v>615</v>
      </c>
      <c r="K1038" s="0" t="s">
        <v>4142</v>
      </c>
      <c r="L1038" s="0" t="s">
        <v>32</v>
      </c>
      <c r="M1038" s="0" t="s">
        <v>33</v>
      </c>
      <c r="N1038" s="0" t="s">
        <v>218</v>
      </c>
      <c r="O1038" s="0" t="s">
        <v>35</v>
      </c>
      <c r="P1038" s="0" t="s">
        <v>39</v>
      </c>
      <c r="Q1038" s="0" t="s">
        <v>4143</v>
      </c>
      <c r="R1038" s="0" t="s">
        <v>4141</v>
      </c>
      <c r="S1038" s="0" t="s">
        <v>218</v>
      </c>
      <c r="T1038" s="0">
        <f>HYPERLINK("https://storage.sslt.ae/ItemVariation/08DCFA78-CA8D-41B1-8E11-BE1B3FFE1578/7729F4B6-8D4A-4946-BB15-19ACD4B0D861.png","Variant Image")</f>
      </c>
      <c r="U1038" s="0">
        <f>HYPERLINK("https://ec-qa-storage.kldlms.com/Item/08DCFA78-CA8D-41B1-8E11-BE1B3FFE1578/B8406759-3128-43FB-9351-AFAA44690B38.png","Thumbnail Image")</f>
      </c>
      <c r="V1038" s="0">
        <f>HYPERLINK("https://ec-qa-storage.kldlms.com/ItemGallery/08DCFA78-CA8D-41B1-8E11-BE1B3FFE1578/CAD35426-8756-42C9-A88D-38503400D0CE.png","Gallery Image ")</f>
      </c>
      <c r="W1038" s="0" t="s">
        <v>22</v>
      </c>
      <c r="X1038" s="0" t="s">
        <v>4144</v>
      </c>
    </row>
    <row r="1039">
      <c r="A1039" s="0" t="s">
        <v>1582</v>
      </c>
      <c r="B1039" s="0" t="s">
        <v>1582</v>
      </c>
      <c r="C1039" s="0" t="s">
        <v>4145</v>
      </c>
      <c r="D1039" s="0" t="s">
        <v>27</v>
      </c>
      <c r="E1039" s="0" t="s">
        <v>3997</v>
      </c>
      <c r="F1039" s="0" t="s">
        <v>58</v>
      </c>
      <c r="G1039" s="0" t="s">
        <v>1582</v>
      </c>
      <c r="H1039" s="0" t="s">
        <v>1582</v>
      </c>
      <c r="I1039" s="0" t="s">
        <v>615</v>
      </c>
      <c r="J1039" s="0" t="s">
        <v>615</v>
      </c>
      <c r="K1039" s="0" t="s">
        <v>3084</v>
      </c>
      <c r="L1039" s="0" t="s">
        <v>32</v>
      </c>
      <c r="M1039" s="0" t="s">
        <v>33</v>
      </c>
      <c r="N1039" s="0" t="s">
        <v>2815</v>
      </c>
      <c r="O1039" s="0" t="s">
        <v>35</v>
      </c>
      <c r="P1039" s="0" t="s">
        <v>39</v>
      </c>
      <c r="Q1039" s="0" t="s">
        <v>3085</v>
      </c>
      <c r="R1039" s="0" t="s">
        <v>4145</v>
      </c>
      <c r="S1039" s="0" t="s">
        <v>2815</v>
      </c>
      <c r="T1039" s="0">
        <f>HYPERLINK("https://storage.sslt.ae/ItemVariation/08DCFA78-CAE8-43A1-89FF-81CEC42972F7/A4A457AE-A1EB-410A-8D64-D04808E4E9FA.png","Variant Image")</f>
      </c>
      <c r="U1039" s="0">
        <f>HYPERLINK("https://ec-qa-storage.kldlms.com/Item/08DCFA78-CAE8-43A1-89FF-81CEC42972F7/BF5F146D-2145-4B6A-B399-1EEF62DF3FF8.png","Thumbnail Image")</f>
      </c>
      <c r="V1039" s="0">
        <f>HYPERLINK("https://ec-qa-storage.kldlms.com/ItemGallery/08DCFA78-CAE8-43A1-89FF-81CEC42972F7/DE771AA8-9702-45EC-8143-D2B2DEAFBB83.png","Gallery Image ")</f>
      </c>
      <c r="W1039" s="0" t="s">
        <v>22</v>
      </c>
      <c r="X1039" s="0" t="s">
        <v>4146</v>
      </c>
    </row>
    <row r="1040">
      <c r="A1040" s="0" t="s">
        <v>1366</v>
      </c>
      <c r="B1040" s="0" t="s">
        <v>1366</v>
      </c>
      <c r="C1040" s="0" t="s">
        <v>4147</v>
      </c>
      <c r="D1040" s="0" t="s">
        <v>27</v>
      </c>
      <c r="E1040" s="0" t="s">
        <v>3997</v>
      </c>
      <c r="F1040" s="0" t="s">
        <v>58</v>
      </c>
      <c r="G1040" s="0" t="s">
        <v>1366</v>
      </c>
      <c r="H1040" s="0" t="s">
        <v>1366</v>
      </c>
      <c r="I1040" s="0" t="s">
        <v>615</v>
      </c>
      <c r="J1040" s="0" t="s">
        <v>615</v>
      </c>
      <c r="K1040" s="0" t="s">
        <v>4148</v>
      </c>
      <c r="L1040" s="0" t="s">
        <v>32</v>
      </c>
      <c r="M1040" s="0" t="s">
        <v>33</v>
      </c>
      <c r="N1040" s="0" t="s">
        <v>276</v>
      </c>
      <c r="O1040" s="0" t="s">
        <v>35</v>
      </c>
      <c r="P1040" s="0" t="s">
        <v>39</v>
      </c>
      <c r="Q1040" s="0" t="s">
        <v>4149</v>
      </c>
      <c r="R1040" s="0" t="s">
        <v>4147</v>
      </c>
      <c r="S1040" s="0" t="s">
        <v>276</v>
      </c>
      <c r="T1040" s="0">
        <f>HYPERLINK("https://storage.sslt.ae/ItemVariation/08DCFA78-CB43-4E64-8649-ECE736B795CA/788D9FF3-E343-434C-A229-807A22906067.png","Variant Image")</f>
      </c>
      <c r="U1040" s="0">
        <f>HYPERLINK("https://ec-qa-storage.kldlms.com/Item/08DCFA78-CB43-4E64-8649-ECE736B795CA/098E97D5-A93D-41BB-BAA5-841172EFE32E.png","Thumbnail Image")</f>
      </c>
      <c r="V1040" s="0">
        <f>HYPERLINK("https://ec-qa-storage.kldlms.com/ItemGallery/08DCFA78-CB43-4E64-8649-ECE736B795CA/DF635237-11E5-4219-9EB6-EEC05F618C1C.png","Gallery Image ")</f>
      </c>
      <c r="W1040" s="0" t="s">
        <v>22</v>
      </c>
      <c r="X1040" s="0" t="s">
        <v>4150</v>
      </c>
    </row>
    <row r="1041">
      <c r="A1041" s="0" t="s">
        <v>4151</v>
      </c>
      <c r="B1041" s="0" t="s">
        <v>4151</v>
      </c>
      <c r="C1041" s="0" t="s">
        <v>4152</v>
      </c>
      <c r="D1041" s="0" t="s">
        <v>27</v>
      </c>
      <c r="E1041" s="0" t="s">
        <v>4040</v>
      </c>
      <c r="F1041" s="0" t="s">
        <v>3559</v>
      </c>
      <c r="G1041" s="0" t="s">
        <v>4151</v>
      </c>
      <c r="H1041" s="0" t="s">
        <v>4151</v>
      </c>
      <c r="I1041" s="0" t="s">
        <v>615</v>
      </c>
      <c r="J1041" s="0" t="s">
        <v>615</v>
      </c>
      <c r="K1041" s="0" t="s">
        <v>4153</v>
      </c>
      <c r="L1041" s="0" t="s">
        <v>32</v>
      </c>
      <c r="M1041" s="0" t="s">
        <v>33</v>
      </c>
      <c r="N1041" s="0" t="s">
        <v>142</v>
      </c>
      <c r="O1041" s="0" t="s">
        <v>35</v>
      </c>
      <c r="P1041" s="0" t="s">
        <v>39</v>
      </c>
      <c r="Q1041" s="0" t="s">
        <v>4154</v>
      </c>
      <c r="R1041" s="0" t="s">
        <v>4152</v>
      </c>
      <c r="S1041" s="0" t="s">
        <v>142</v>
      </c>
      <c r="T1041" s="0">
        <f>HYPERLINK("https://storage.sslt.ae/ItemVariation/08DCFA78-CBA0-43D5-8FA8-905276B1A32D/EB18196C-993D-4D1C-94BD-B69E50F16122.png","Variant Image")</f>
      </c>
      <c r="U1041" s="0">
        <f>HYPERLINK("https://ec-qa-storage.kldlms.com/Item/08DCFA78-CBA0-43D5-8FA8-905276B1A32D/67A6DEA8-2CCB-4AD7-A4D4-A6E55F3128E7.png","Thumbnail Image")</f>
      </c>
      <c r="V1041" s="0">
        <f>HYPERLINK("https://ec-qa-storage.kldlms.com/ItemGallery/08DCFA78-CBA0-43D5-8FA8-905276B1A32D/FA41FDCD-E38C-4369-BC69-B43B211696B2.png","Gallery Image ")</f>
      </c>
      <c r="W1041" s="0" t="s">
        <v>22</v>
      </c>
      <c r="X1041" s="0" t="s">
        <v>4155</v>
      </c>
    </row>
    <row r="1042">
      <c r="A1042" s="0" t="s">
        <v>4151</v>
      </c>
      <c r="B1042" s="0" t="s">
        <v>4151</v>
      </c>
      <c r="C1042" s="0" t="s">
        <v>4156</v>
      </c>
      <c r="D1042" s="0" t="s">
        <v>27</v>
      </c>
      <c r="E1042" s="0" t="s">
        <v>4040</v>
      </c>
      <c r="F1042" s="0" t="s">
        <v>3559</v>
      </c>
      <c r="G1042" s="0" t="s">
        <v>4151</v>
      </c>
      <c r="H1042" s="0" t="s">
        <v>4151</v>
      </c>
      <c r="I1042" s="0" t="s">
        <v>615</v>
      </c>
      <c r="J1042" s="0" t="s">
        <v>615</v>
      </c>
      <c r="K1042" s="0" t="s">
        <v>4157</v>
      </c>
      <c r="L1042" s="0" t="s">
        <v>32</v>
      </c>
      <c r="M1042" s="0" t="s">
        <v>33</v>
      </c>
      <c r="N1042" s="0" t="s">
        <v>276</v>
      </c>
      <c r="O1042" s="0" t="s">
        <v>35</v>
      </c>
      <c r="P1042" s="0" t="s">
        <v>39</v>
      </c>
      <c r="Q1042" s="0" t="s">
        <v>4158</v>
      </c>
      <c r="R1042" s="0" t="s">
        <v>4156</v>
      </c>
      <c r="S1042" s="0" t="s">
        <v>276</v>
      </c>
      <c r="T1042" s="0">
        <f>HYPERLINK("https://storage.sslt.ae/ItemVariation/08DCFA78-CBFC-423F-8CC3-18B4F5FD96FD/D3DDEFB1-D3B2-469F-916F-696D0F670902.png","Variant Image")</f>
      </c>
      <c r="U1042" s="0">
        <f>HYPERLINK("https://ec-qa-storage.kldlms.com/Item/08DCFA78-CBFC-423F-8CC3-18B4F5FD96FD/98A62952-413A-467B-BF56-564A0F31C726.png","Thumbnail Image")</f>
      </c>
      <c r="V1042" s="0">
        <f>HYPERLINK("https://ec-qa-storage.kldlms.com/ItemGallery/08DCFA78-CBFC-423F-8CC3-18B4F5FD96FD/70E973BD-D207-41B6-B770-28EBEE3697F9.png","Gallery Image ")</f>
      </c>
      <c r="W1042" s="0" t="s">
        <v>22</v>
      </c>
      <c r="X1042" s="0" t="s">
        <v>4159</v>
      </c>
    </row>
    <row r="1043">
      <c r="A1043" s="0" t="s">
        <v>4160</v>
      </c>
      <c r="B1043" s="0" t="s">
        <v>4160</v>
      </c>
      <c r="C1043" s="0" t="s">
        <v>4161</v>
      </c>
      <c r="D1043" s="0" t="s">
        <v>27</v>
      </c>
      <c r="E1043" s="0" t="s">
        <v>4162</v>
      </c>
      <c r="F1043" s="0" t="s">
        <v>3559</v>
      </c>
      <c r="G1043" s="0" t="s">
        <v>4160</v>
      </c>
      <c r="H1043" s="0" t="s">
        <v>4160</v>
      </c>
      <c r="I1043" s="0" t="s">
        <v>615</v>
      </c>
      <c r="J1043" s="0" t="s">
        <v>615</v>
      </c>
      <c r="K1043" s="0" t="s">
        <v>1206</v>
      </c>
      <c r="L1043" s="0" t="s">
        <v>32</v>
      </c>
      <c r="M1043" s="0" t="s">
        <v>33</v>
      </c>
      <c r="N1043" s="0" t="s">
        <v>160</v>
      </c>
      <c r="O1043" s="0" t="s">
        <v>35</v>
      </c>
      <c r="P1043" s="0" t="s">
        <v>39</v>
      </c>
      <c r="Q1043" s="0" t="s">
        <v>3268</v>
      </c>
      <c r="R1043" s="0" t="s">
        <v>4161</v>
      </c>
      <c r="S1043" s="0" t="s">
        <v>160</v>
      </c>
      <c r="T1043" s="0">
        <f>HYPERLINK("https://storage.sslt.ae/ItemVariation/08DCFA78-CC57-4A6F-8EB6-0BAF0602E0D9/3589C84B-2860-472B-B423-606C34B3CD8A.png","Variant Image")</f>
      </c>
      <c r="U1043" s="0">
        <f>HYPERLINK("https://ec-qa-storage.kldlms.com/Item/08DCFA78-CC57-4A6F-8EB6-0BAF0602E0D9/1DF6814D-0729-4BCB-B6B2-9BB6924D7ABE.png","Thumbnail Image")</f>
      </c>
      <c r="V1043" s="0">
        <f>HYPERLINK("https://ec-qa-storage.kldlms.com/ItemGallery/08DCFA78-CC57-4A6F-8EB6-0BAF0602E0D9/44DFBF75-2FFE-4B51-A926-BA2E37A648DF.png","Gallery Image ")</f>
      </c>
      <c r="W1043" s="0" t="s">
        <v>22</v>
      </c>
      <c r="X1043" s="0" t="s">
        <v>4163</v>
      </c>
    </row>
    <row r="1044">
      <c r="A1044" s="0" t="s">
        <v>4164</v>
      </c>
      <c r="B1044" s="0" t="s">
        <v>4164</v>
      </c>
      <c r="C1044" s="0" t="s">
        <v>4165</v>
      </c>
      <c r="D1044" s="0" t="s">
        <v>27</v>
      </c>
      <c r="E1044" s="0" t="s">
        <v>4162</v>
      </c>
      <c r="F1044" s="0" t="s">
        <v>3559</v>
      </c>
      <c r="G1044" s="0" t="s">
        <v>4164</v>
      </c>
      <c r="H1044" s="0" t="s">
        <v>4164</v>
      </c>
      <c r="I1044" s="0" t="s">
        <v>615</v>
      </c>
      <c r="J1044" s="0" t="s">
        <v>615</v>
      </c>
      <c r="K1044" s="0" t="s">
        <v>4166</v>
      </c>
      <c r="L1044" s="0" t="s">
        <v>32</v>
      </c>
      <c r="M1044" s="0" t="s">
        <v>33</v>
      </c>
      <c r="N1044" s="0" t="s">
        <v>4167</v>
      </c>
      <c r="O1044" s="0" t="s">
        <v>35</v>
      </c>
      <c r="P1044" s="0" t="s">
        <v>39</v>
      </c>
      <c r="Q1044" s="0" t="s">
        <v>4168</v>
      </c>
      <c r="R1044" s="0" t="s">
        <v>4165</v>
      </c>
      <c r="S1044" s="0" t="s">
        <v>4167</v>
      </c>
      <c r="T1044" s="0">
        <f>HYPERLINK("https://storage.sslt.ae/ItemVariation/08DCFA78-CCB5-41C3-883E-174C181358E2/012AC48A-631F-4F62-8986-7AE253AF275A.png","Variant Image")</f>
      </c>
      <c r="U1044" s="0">
        <f>HYPERLINK("https://ec-qa-storage.kldlms.com/Item/08DCFA78-CCB5-41C3-883E-174C181358E2/864D85CF-CB61-43B8-AA72-DCA76F2B459F.png","Thumbnail Image")</f>
      </c>
      <c r="V1044" s="0">
        <f>HYPERLINK("https://ec-qa-storage.kldlms.com/ItemGallery/08DCFA78-CCB5-41C3-883E-174C181358E2/FE38AC4F-D727-407E-BDD8-651818831B4D.png","Gallery Image ")</f>
      </c>
      <c r="W1044" s="0" t="s">
        <v>22</v>
      </c>
      <c r="X1044" s="0" t="s">
        <v>4169</v>
      </c>
    </row>
    <row r="1045">
      <c r="A1045" s="0" t="s">
        <v>4170</v>
      </c>
      <c r="B1045" s="0" t="s">
        <v>4170</v>
      </c>
      <c r="C1045" s="0" t="s">
        <v>4171</v>
      </c>
      <c r="D1045" s="0" t="s">
        <v>27</v>
      </c>
      <c r="E1045" s="0" t="s">
        <v>4162</v>
      </c>
      <c r="F1045" s="0" t="s">
        <v>3559</v>
      </c>
      <c r="G1045" s="0" t="s">
        <v>4170</v>
      </c>
      <c r="H1045" s="0" t="s">
        <v>4170</v>
      </c>
      <c r="I1045" s="0" t="s">
        <v>615</v>
      </c>
      <c r="J1045" s="0" t="s">
        <v>615</v>
      </c>
      <c r="K1045" s="0" t="s">
        <v>4172</v>
      </c>
      <c r="L1045" s="0" t="s">
        <v>32</v>
      </c>
      <c r="M1045" s="0" t="s">
        <v>33</v>
      </c>
      <c r="N1045" s="0" t="s">
        <v>3291</v>
      </c>
      <c r="O1045" s="0" t="s">
        <v>35</v>
      </c>
      <c r="P1045" s="0" t="s">
        <v>39</v>
      </c>
      <c r="Q1045" s="0" t="s">
        <v>4173</v>
      </c>
      <c r="R1045" s="0" t="s">
        <v>4171</v>
      </c>
      <c r="S1045" s="0" t="s">
        <v>3291</v>
      </c>
      <c r="T1045" s="0">
        <f>HYPERLINK("https://storage.sslt.ae/ItemVariation/08DCFA78-CD10-48F0-8C52-764C93A44D43/F667E4D6-81F3-4910-BC17-435AEA3CF495.png","Variant Image")</f>
      </c>
      <c r="U1045" s="0">
        <f>HYPERLINK("https://ec-qa-storage.kldlms.com/Item/08DCFA78-CD10-48F0-8C52-764C93A44D43/DD53A0AE-46C7-4683-978F-6C756A519DC3.png","Thumbnail Image")</f>
      </c>
      <c r="V1045" s="0">
        <f>HYPERLINK("https://ec-qa-storage.kldlms.com/ItemGallery/08DCFA78-CD10-48F0-8C52-764C93A44D43/B15A37AE-B3BF-48C3-AE86-B3694444A191.png","Gallery Image ")</f>
      </c>
      <c r="W1045" s="0" t="s">
        <v>22</v>
      </c>
      <c r="X1045" s="0" t="s">
        <v>4174</v>
      </c>
    </row>
    <row r="1046">
      <c r="A1046" s="0" t="s">
        <v>4175</v>
      </c>
      <c r="B1046" s="0" t="s">
        <v>4175</v>
      </c>
      <c r="C1046" s="0" t="s">
        <v>4176</v>
      </c>
      <c r="D1046" s="0" t="s">
        <v>27</v>
      </c>
      <c r="E1046" s="0" t="s">
        <v>4162</v>
      </c>
      <c r="F1046" s="0" t="s">
        <v>3559</v>
      </c>
      <c r="G1046" s="0" t="s">
        <v>4175</v>
      </c>
      <c r="H1046" s="0" t="s">
        <v>4175</v>
      </c>
      <c r="I1046" s="0" t="s">
        <v>615</v>
      </c>
      <c r="J1046" s="0" t="s">
        <v>615</v>
      </c>
      <c r="K1046" s="0" t="s">
        <v>1022</v>
      </c>
      <c r="L1046" s="0" t="s">
        <v>32</v>
      </c>
      <c r="M1046" s="0" t="s">
        <v>33</v>
      </c>
      <c r="N1046" s="0" t="s">
        <v>4166</v>
      </c>
      <c r="O1046" s="0" t="s">
        <v>35</v>
      </c>
      <c r="P1046" s="0" t="s">
        <v>39</v>
      </c>
      <c r="Q1046" s="0" t="s">
        <v>4177</v>
      </c>
      <c r="R1046" s="0" t="s">
        <v>4176</v>
      </c>
      <c r="S1046" s="0" t="s">
        <v>4166</v>
      </c>
      <c r="T1046" s="0">
        <f>HYPERLINK("https://storage.sslt.ae/ItemVariation/08DCFA78-CD6B-4D85-88B4-F95C2743E2B1/A5562DA5-DF06-4AA0-9621-68EBA33F1EE9.png","Variant Image")</f>
      </c>
      <c r="U1046" s="0">
        <f>HYPERLINK("https://ec-qa-storage.kldlms.com/Item/08DCFA78-CD6B-4D85-88B4-F95C2743E2B1/D7DD7D25-531C-4728-9C52-2DCB3EF8B100.png","Thumbnail Image")</f>
      </c>
      <c r="V1046" s="0">
        <f>HYPERLINK("https://ec-qa-storage.kldlms.com/ItemGallery/08DCFA78-CD6B-4D85-88B4-F95C2743E2B1/3F44A6DC-1ADC-47ED-A2CA-9FDE094DA3D6.png","Gallery Image ")</f>
      </c>
      <c r="W1046" s="0" t="s">
        <v>22</v>
      </c>
      <c r="X1046" s="0" t="s">
        <v>4178</v>
      </c>
    </row>
    <row r="1047">
      <c r="A1047" s="0" t="s">
        <v>4179</v>
      </c>
      <c r="B1047" s="0" t="s">
        <v>4179</v>
      </c>
      <c r="C1047" s="0" t="s">
        <v>4180</v>
      </c>
      <c r="D1047" s="0" t="s">
        <v>27</v>
      </c>
      <c r="E1047" s="0" t="s">
        <v>4162</v>
      </c>
      <c r="F1047" s="0" t="s">
        <v>3559</v>
      </c>
      <c r="G1047" s="0" t="s">
        <v>4179</v>
      </c>
      <c r="H1047" s="0" t="s">
        <v>4179</v>
      </c>
      <c r="I1047" s="0" t="s">
        <v>615</v>
      </c>
      <c r="J1047" s="0" t="s">
        <v>615</v>
      </c>
      <c r="K1047" s="0" t="s">
        <v>223</v>
      </c>
      <c r="L1047" s="0" t="s">
        <v>32</v>
      </c>
      <c r="M1047" s="0" t="s">
        <v>33</v>
      </c>
      <c r="N1047" s="0" t="s">
        <v>266</v>
      </c>
      <c r="O1047" s="0" t="s">
        <v>35</v>
      </c>
      <c r="P1047" s="0" t="s">
        <v>39</v>
      </c>
      <c r="Q1047" s="0" t="s">
        <v>4181</v>
      </c>
      <c r="R1047" s="0" t="s">
        <v>4180</v>
      </c>
      <c r="S1047" s="0" t="s">
        <v>266</v>
      </c>
      <c r="T1047" s="0">
        <f>HYPERLINK("https://storage.sslt.ae/ItemVariation/08DCFA78-CDC8-4599-8EB5-2E4095B6BFCB/ACB68857-C956-4022-BE07-111DCA638E2C.png","Variant Image")</f>
      </c>
      <c r="U1047" s="0">
        <f>HYPERLINK("https://ec-qa-storage.kldlms.com/Item/08DCFA78-CDC8-4599-8EB5-2E4095B6BFCB/5FB8CD6E-5A36-4024-8CC7-E104AFD1EB4C.png","Thumbnail Image")</f>
      </c>
      <c r="V1047" s="0">
        <f>HYPERLINK("https://ec-qa-storage.kldlms.com/ItemGallery/08DCFA78-CDC8-4599-8EB5-2E4095B6BFCB/B2A2642F-C6CD-4B73-8F5B-A9B39AFB71AC.png","Gallery Image ")</f>
      </c>
      <c r="W1047" s="0" t="s">
        <v>22</v>
      </c>
      <c r="X1047" s="0" t="s">
        <v>4182</v>
      </c>
    </row>
    <row r="1048">
      <c r="A1048" s="0" t="s">
        <v>4183</v>
      </c>
      <c r="B1048" s="0" t="s">
        <v>4183</v>
      </c>
      <c r="C1048" s="0" t="s">
        <v>4184</v>
      </c>
      <c r="D1048" s="0" t="s">
        <v>27</v>
      </c>
      <c r="E1048" s="0" t="s">
        <v>4162</v>
      </c>
      <c r="F1048" s="0" t="s">
        <v>3559</v>
      </c>
      <c r="G1048" s="0" t="s">
        <v>4183</v>
      </c>
      <c r="H1048" s="0" t="s">
        <v>4183</v>
      </c>
      <c r="I1048" s="0" t="s">
        <v>615</v>
      </c>
      <c r="J1048" s="0" t="s">
        <v>615</v>
      </c>
      <c r="K1048" s="0" t="s">
        <v>4185</v>
      </c>
      <c r="L1048" s="0" t="s">
        <v>32</v>
      </c>
      <c r="M1048" s="0" t="s">
        <v>33</v>
      </c>
      <c r="N1048" s="0" t="s">
        <v>1283</v>
      </c>
      <c r="O1048" s="0" t="s">
        <v>35</v>
      </c>
      <c r="P1048" s="0" t="s">
        <v>39</v>
      </c>
      <c r="Q1048" s="0" t="s">
        <v>4186</v>
      </c>
      <c r="R1048" s="0" t="s">
        <v>4184</v>
      </c>
      <c r="S1048" s="0" t="s">
        <v>1283</v>
      </c>
      <c r="T1048" s="0">
        <f>HYPERLINK("https://storage.sslt.ae/ItemVariation/08DCFA78-CE24-4850-8724-8295762F9775/81493D45-196F-4E5E-81BE-BD726759A7DC.png","Variant Image")</f>
      </c>
      <c r="U1048" s="0">
        <f>HYPERLINK("https://ec-qa-storage.kldlms.com/Item/08DCFA78-CE24-4850-8724-8295762F9775/1C6462D5-D5D4-4287-A3C2-F427B913E538.png","Thumbnail Image")</f>
      </c>
      <c r="V1048" s="0">
        <f>HYPERLINK("https://ec-qa-storage.kldlms.com/ItemGallery/08DCFA78-CE24-4850-8724-8295762F9775/7482068B-9AC7-4B39-993C-62E8874B5792.png","Gallery Image ")</f>
      </c>
      <c r="W1048" s="0" t="s">
        <v>22</v>
      </c>
      <c r="X1048" s="0" t="s">
        <v>4187</v>
      </c>
    </row>
    <row r="1049">
      <c r="A1049" s="0" t="s">
        <v>4188</v>
      </c>
      <c r="B1049" s="0" t="s">
        <v>4188</v>
      </c>
      <c r="C1049" s="0" t="s">
        <v>4189</v>
      </c>
      <c r="D1049" s="0" t="s">
        <v>27</v>
      </c>
      <c r="E1049" s="0" t="s">
        <v>4162</v>
      </c>
      <c r="F1049" s="0" t="s">
        <v>3559</v>
      </c>
      <c r="G1049" s="0" t="s">
        <v>4188</v>
      </c>
      <c r="H1049" s="0" t="s">
        <v>4188</v>
      </c>
      <c r="I1049" s="0" t="s">
        <v>615</v>
      </c>
      <c r="J1049" s="0" t="s">
        <v>615</v>
      </c>
      <c r="K1049" s="0" t="s">
        <v>4185</v>
      </c>
      <c r="L1049" s="0" t="s">
        <v>32</v>
      </c>
      <c r="M1049" s="0" t="s">
        <v>33</v>
      </c>
      <c r="N1049" s="0" t="s">
        <v>1022</v>
      </c>
      <c r="O1049" s="0" t="s">
        <v>35</v>
      </c>
      <c r="P1049" s="0" t="s">
        <v>39</v>
      </c>
      <c r="Q1049" s="0" t="s">
        <v>4186</v>
      </c>
      <c r="R1049" s="0" t="s">
        <v>4189</v>
      </c>
      <c r="S1049" s="0" t="s">
        <v>1022</v>
      </c>
      <c r="T1049" s="0">
        <f>HYPERLINK("https://storage.sslt.ae/ItemVariation/08DCFA78-CE7E-487B-8BF9-BC02D508F444/ED02DFCF-97B7-4ABE-B2E1-A11FB1A4B664.png","Variant Image")</f>
      </c>
      <c r="U1049" s="0">
        <f>HYPERLINK("https://ec-qa-storage.kldlms.com/Item/08DCFA78-CE7E-487B-8BF9-BC02D508F444/0A8859F5-EC81-4105-917A-C199305BE18C.png","Thumbnail Image")</f>
      </c>
      <c r="V1049" s="0">
        <f>HYPERLINK("https://ec-qa-storage.kldlms.com/ItemGallery/08DCFA78-CE7E-487B-8BF9-BC02D508F444/045DE9DB-EAC4-4CB2-86BB-489B911D8883.png","Gallery Image ")</f>
      </c>
      <c r="W1049" s="0" t="s">
        <v>22</v>
      </c>
      <c r="X1049" s="0" t="s">
        <v>4190</v>
      </c>
    </row>
    <row r="1050">
      <c r="A1050" s="0" t="s">
        <v>4191</v>
      </c>
      <c r="B1050" s="0" t="s">
        <v>4191</v>
      </c>
      <c r="C1050" s="0" t="s">
        <v>4192</v>
      </c>
      <c r="D1050" s="0" t="s">
        <v>27</v>
      </c>
      <c r="E1050" s="0" t="s">
        <v>4040</v>
      </c>
      <c r="F1050" s="0" t="s">
        <v>1298</v>
      </c>
      <c r="G1050" s="0" t="s">
        <v>4191</v>
      </c>
      <c r="H1050" s="0" t="s">
        <v>4191</v>
      </c>
      <c r="I1050" s="0" t="s">
        <v>615</v>
      </c>
      <c r="J1050" s="0" t="s">
        <v>615</v>
      </c>
      <c r="K1050" s="0" t="s">
        <v>3658</v>
      </c>
      <c r="L1050" s="0" t="s">
        <v>32</v>
      </c>
      <c r="M1050" s="0" t="s">
        <v>33</v>
      </c>
      <c r="N1050" s="0" t="s">
        <v>155</v>
      </c>
      <c r="O1050" s="0" t="s">
        <v>35</v>
      </c>
      <c r="P1050" s="0" t="s">
        <v>39</v>
      </c>
      <c r="Q1050" s="0" t="s">
        <v>3659</v>
      </c>
      <c r="R1050" s="0" t="s">
        <v>4192</v>
      </c>
      <c r="S1050" s="0" t="s">
        <v>155</v>
      </c>
      <c r="T1050" s="0">
        <f>HYPERLINK("https://storage.sslt.ae/ItemVariation/08DCFA78-CEDA-44C7-83ED-A5EEF662BB59/17045194-DEBA-40A1-BDAD-26DE13C01F82.png","Variant Image")</f>
      </c>
      <c r="U1050" s="0">
        <f>HYPERLINK("https://ec-qa-storage.kldlms.com/Item/08DCFA78-CEDA-44C7-83ED-A5EEF662BB59/0CBDD287-5E05-406C-9C6C-6BEC075A1D65.png","Thumbnail Image")</f>
      </c>
      <c r="V1050" s="0">
        <f>HYPERLINK("https://ec-qa-storage.kldlms.com/ItemGallery/08DCFA78-CEDA-44C7-83ED-A5EEF662BB59/3678DD6B-76F1-49C3-B11C-769A2856515A.png","Gallery Image ")</f>
      </c>
      <c r="W1050" s="0" t="s">
        <v>22</v>
      </c>
      <c r="X1050" s="0" t="s">
        <v>4193</v>
      </c>
    </row>
    <row r="1051">
      <c r="A1051" s="0" t="s">
        <v>4194</v>
      </c>
      <c r="B1051" s="0" t="s">
        <v>4194</v>
      </c>
      <c r="C1051" s="0" t="s">
        <v>4195</v>
      </c>
      <c r="D1051" s="0" t="s">
        <v>27</v>
      </c>
      <c r="E1051" s="0" t="s">
        <v>4196</v>
      </c>
      <c r="F1051" s="0" t="s">
        <v>58</v>
      </c>
      <c r="G1051" s="0" t="s">
        <v>4194</v>
      </c>
      <c r="H1051" s="0" t="s">
        <v>4194</v>
      </c>
      <c r="I1051" s="0" t="s">
        <v>615</v>
      </c>
      <c r="J1051" s="0" t="s">
        <v>615</v>
      </c>
      <c r="K1051" s="0" t="s">
        <v>4197</v>
      </c>
      <c r="L1051" s="0" t="s">
        <v>32</v>
      </c>
      <c r="M1051" s="0" t="s">
        <v>33</v>
      </c>
      <c r="N1051" s="0" t="s">
        <v>846</v>
      </c>
      <c r="O1051" s="0" t="s">
        <v>35</v>
      </c>
      <c r="P1051" s="0" t="s">
        <v>39</v>
      </c>
      <c r="Q1051" s="0" t="s">
        <v>4198</v>
      </c>
      <c r="R1051" s="0" t="s">
        <v>4195</v>
      </c>
      <c r="S1051" s="0" t="s">
        <v>846</v>
      </c>
      <c r="T1051" s="0">
        <f>HYPERLINK("https://storage.sslt.ae/ItemVariation/08DCFA78-D8E9-4746-8424-53817BE66C2B/02A9E935-4414-46D4-9930-83AA85D98CE7.png","Variant Image")</f>
      </c>
      <c r="U1051" s="0">
        <f>HYPERLINK("https://ec-qa-storage.kldlms.com/Item/08DCFA78-D8E9-4746-8424-53817BE66C2B/F4C48CFD-6904-4253-823C-97E7EBB28B7C.png","Thumbnail Image")</f>
      </c>
      <c r="V1051" s="0">
        <f>HYPERLINK("https://ec-qa-storage.kldlms.com/ItemGallery/08DCFA78-D8E9-4746-8424-53817BE66C2B/D7AEA46A-675B-4031-A184-4676EC6D2E4C.png","Gallery Image ")</f>
      </c>
      <c r="W1051" s="0" t="s">
        <v>22</v>
      </c>
      <c r="X1051" s="0" t="s">
        <v>4199</v>
      </c>
    </row>
    <row r="1052">
      <c r="A1052" s="0" t="s">
        <v>4200</v>
      </c>
      <c r="B1052" s="0" t="s">
        <v>4200</v>
      </c>
      <c r="C1052" s="0" t="s">
        <v>4201</v>
      </c>
      <c r="D1052" s="0" t="s">
        <v>27</v>
      </c>
      <c r="E1052" s="0" t="s">
        <v>4196</v>
      </c>
      <c r="F1052" s="0" t="s">
        <v>58</v>
      </c>
      <c r="G1052" s="0" t="s">
        <v>4200</v>
      </c>
      <c r="H1052" s="0" t="s">
        <v>4200</v>
      </c>
      <c r="I1052" s="0" t="s">
        <v>615</v>
      </c>
      <c r="J1052" s="0" t="s">
        <v>615</v>
      </c>
      <c r="K1052" s="0" t="s">
        <v>736</v>
      </c>
      <c r="L1052" s="0" t="s">
        <v>32</v>
      </c>
      <c r="M1052" s="0" t="s">
        <v>33</v>
      </c>
      <c r="N1052" s="0" t="s">
        <v>3272</v>
      </c>
      <c r="O1052" s="0" t="s">
        <v>35</v>
      </c>
      <c r="P1052" s="0" t="s">
        <v>39</v>
      </c>
      <c r="Q1052" s="0" t="s">
        <v>3305</v>
      </c>
      <c r="R1052" s="0" t="s">
        <v>4201</v>
      </c>
      <c r="S1052" s="0" t="s">
        <v>3272</v>
      </c>
      <c r="T1052" s="0">
        <f>HYPERLINK("https://storage.sslt.ae/ItemVariation/08DCFA78-D944-4306-8421-A6FCE1AE7BEE/F9944AA2-5E3C-422A-AC17-FCB44F067BBC.png","Variant Image")</f>
      </c>
      <c r="U1052" s="0">
        <f>HYPERLINK("https://ec-qa-storage.kldlms.com/Item/08DCFA78-D944-4306-8421-A6FCE1AE7BEE/BBB72289-D1F1-42CB-ADBB-9011883D8507.png","Thumbnail Image")</f>
      </c>
      <c r="V1052" s="0">
        <f>HYPERLINK("https://ec-qa-storage.kldlms.com/ItemGallery/08DCFA78-D944-4306-8421-A6FCE1AE7BEE/94495CC3-E04C-489D-87B6-D62D1E1A08C9.png","Gallery Image ")</f>
      </c>
      <c r="W1052" s="0" t="s">
        <v>22</v>
      </c>
      <c r="X1052" s="0" t="s">
        <v>4202</v>
      </c>
    </row>
    <row r="1053">
      <c r="A1053" s="0" t="s">
        <v>4203</v>
      </c>
      <c r="B1053" s="0" t="s">
        <v>4203</v>
      </c>
      <c r="C1053" s="0" t="s">
        <v>4204</v>
      </c>
      <c r="D1053" s="0" t="s">
        <v>27</v>
      </c>
      <c r="E1053" s="0" t="s">
        <v>4205</v>
      </c>
      <c r="F1053" s="0" t="s">
        <v>58</v>
      </c>
      <c r="G1053" s="0" t="s">
        <v>4203</v>
      </c>
      <c r="H1053" s="0" t="s">
        <v>4203</v>
      </c>
      <c r="I1053" s="0" t="s">
        <v>615</v>
      </c>
      <c r="J1053" s="0" t="s">
        <v>615</v>
      </c>
      <c r="K1053" s="0" t="s">
        <v>4206</v>
      </c>
      <c r="L1053" s="0" t="s">
        <v>32</v>
      </c>
      <c r="M1053" s="0" t="s">
        <v>33</v>
      </c>
      <c r="N1053" s="0" t="s">
        <v>219</v>
      </c>
      <c r="O1053" s="0" t="s">
        <v>35</v>
      </c>
      <c r="P1053" s="0" t="s">
        <v>39</v>
      </c>
      <c r="Q1053" s="0" t="s">
        <v>4207</v>
      </c>
      <c r="R1053" s="0" t="s">
        <v>4204</v>
      </c>
      <c r="S1053" s="0" t="s">
        <v>219</v>
      </c>
      <c r="T1053" s="0">
        <f>HYPERLINK("https://storage.sslt.ae/ItemVariation/08DCFA78-D9A0-4EFE-8B9B-4840780B2D4E/96AAE403-69AD-49FA-BC0F-26B7676E2B43.png","Variant Image")</f>
      </c>
      <c r="U1053" s="0">
        <f>HYPERLINK("https://ec-qa-storage.kldlms.com/Item/08DCFA78-D9A0-4EFE-8B9B-4840780B2D4E/0982DC06-3075-4334-BA70-A976338C7525.png","Thumbnail Image")</f>
      </c>
      <c r="V1053" s="0">
        <f>HYPERLINK("https://ec-qa-storage.kldlms.com/ItemGallery/08DCFA78-D9A0-4EFE-8B9B-4840780B2D4E/566ADECC-98A3-4D97-8457-5F4C26BA0519.png","Gallery Image ")</f>
      </c>
      <c r="W1053" s="0" t="s">
        <v>22</v>
      </c>
      <c r="X1053" s="0" t="s">
        <v>4208</v>
      </c>
    </row>
    <row r="1054">
      <c r="A1054" s="0" t="s">
        <v>4209</v>
      </c>
      <c r="B1054" s="0" t="s">
        <v>4209</v>
      </c>
      <c r="C1054" s="0" t="s">
        <v>4210</v>
      </c>
      <c r="D1054" s="0" t="s">
        <v>27</v>
      </c>
      <c r="E1054" s="0" t="s">
        <v>4196</v>
      </c>
      <c r="F1054" s="0" t="s">
        <v>58</v>
      </c>
      <c r="G1054" s="0" t="s">
        <v>4209</v>
      </c>
      <c r="H1054" s="0" t="s">
        <v>4209</v>
      </c>
      <c r="I1054" s="0" t="s">
        <v>615</v>
      </c>
      <c r="J1054" s="0" t="s">
        <v>615</v>
      </c>
      <c r="K1054" s="0" t="s">
        <v>3437</v>
      </c>
      <c r="L1054" s="0" t="s">
        <v>32</v>
      </c>
      <c r="M1054" s="0" t="s">
        <v>33</v>
      </c>
      <c r="N1054" s="0" t="s">
        <v>209</v>
      </c>
      <c r="O1054" s="0" t="s">
        <v>35</v>
      </c>
      <c r="P1054" s="0" t="s">
        <v>39</v>
      </c>
      <c r="Q1054" s="0" t="s">
        <v>3438</v>
      </c>
      <c r="R1054" s="0" t="s">
        <v>4210</v>
      </c>
      <c r="S1054" s="0" t="s">
        <v>209</v>
      </c>
      <c r="T1054" s="0">
        <f>HYPERLINK("https://storage.sslt.ae/ItemVariation/08DCFA78-DA77-43FB-8F1F-2F2D672B7C97/7E6C458F-67E4-4AEA-91AD-479DDAF5C1AB.png","Variant Image")</f>
      </c>
      <c r="U1054" s="0">
        <f>HYPERLINK("https://ec-qa-storage.kldlms.com/Item/08DCFA78-DA77-43FB-8F1F-2F2D672B7C97/92F61FC0-D426-4A7F-8FF9-B60E790142D7.png","Thumbnail Image")</f>
      </c>
      <c r="V1054" s="0">
        <f>HYPERLINK("https://ec-qa-storage.kldlms.com/ItemGallery/08DCFA78-DA77-43FB-8F1F-2F2D672B7C97/871A9C15-B684-48EA-A89D-2AED501AE9C4.png","Gallery Image ")</f>
      </c>
      <c r="W1054" s="0" t="s">
        <v>22</v>
      </c>
      <c r="X1054" s="0" t="s">
        <v>4211</v>
      </c>
    </row>
    <row r="1055">
      <c r="A1055" s="0" t="s">
        <v>4212</v>
      </c>
      <c r="B1055" s="0" t="s">
        <v>4212</v>
      </c>
      <c r="C1055" s="0" t="s">
        <v>4213</v>
      </c>
      <c r="D1055" s="0" t="s">
        <v>27</v>
      </c>
      <c r="E1055" s="0" t="s">
        <v>4196</v>
      </c>
      <c r="F1055" s="0" t="s">
        <v>58</v>
      </c>
      <c r="G1055" s="0" t="s">
        <v>4212</v>
      </c>
      <c r="H1055" s="0" t="s">
        <v>4212</v>
      </c>
      <c r="I1055" s="0" t="s">
        <v>615</v>
      </c>
      <c r="J1055" s="0" t="s">
        <v>615</v>
      </c>
      <c r="K1055" s="0" t="s">
        <v>4214</v>
      </c>
      <c r="L1055" s="0" t="s">
        <v>32</v>
      </c>
      <c r="M1055" s="0" t="s">
        <v>33</v>
      </c>
      <c r="N1055" s="0" t="s">
        <v>851</v>
      </c>
      <c r="O1055" s="0" t="s">
        <v>35</v>
      </c>
      <c r="P1055" s="0" t="s">
        <v>39</v>
      </c>
      <c r="Q1055" s="0" t="s">
        <v>4215</v>
      </c>
      <c r="R1055" s="0" t="s">
        <v>4213</v>
      </c>
      <c r="S1055" s="0" t="s">
        <v>851</v>
      </c>
      <c r="T1055" s="0">
        <f>HYPERLINK("https://storage.sslt.ae/ItemVariation/08DCFA78-DAD2-4F29-87D2-CA77588D0238/454A6FAC-63B7-4CFF-AD4F-4EC123CE4905.png","Variant Image")</f>
      </c>
      <c r="U1055" s="0">
        <f>HYPERLINK("https://ec-qa-storage.kldlms.com/Item/08DCFA78-DAD2-4F29-87D2-CA77588D0238/4535AC95-F6CE-4B4E-96A1-47870EE8F508.png","Thumbnail Image")</f>
      </c>
      <c r="V1055" s="0">
        <f>HYPERLINK("https://ec-qa-storage.kldlms.com/ItemGallery/08DCFA78-DAD2-4F29-87D2-CA77588D0238/4F012C5B-B738-4F71-A652-5FA69FA34161.png","Gallery Image ")</f>
      </c>
      <c r="W1055" s="0" t="s">
        <v>22</v>
      </c>
      <c r="X1055" s="0" t="s">
        <v>4216</v>
      </c>
    </row>
    <row r="1056">
      <c r="A1056" s="0" t="s">
        <v>4217</v>
      </c>
      <c r="B1056" s="0" t="s">
        <v>4217</v>
      </c>
      <c r="C1056" s="0" t="s">
        <v>4218</v>
      </c>
      <c r="D1056" s="0" t="s">
        <v>27</v>
      </c>
      <c r="E1056" s="0" t="s">
        <v>4219</v>
      </c>
      <c r="F1056" s="0" t="s">
        <v>58</v>
      </c>
      <c r="G1056" s="0" t="s">
        <v>4217</v>
      </c>
      <c r="H1056" s="0" t="s">
        <v>4217</v>
      </c>
      <c r="I1056" s="0" t="s">
        <v>615</v>
      </c>
      <c r="J1056" s="0" t="s">
        <v>615</v>
      </c>
      <c r="K1056" s="0" t="s">
        <v>4220</v>
      </c>
      <c r="L1056" s="0" t="s">
        <v>32</v>
      </c>
      <c r="M1056" s="0" t="s">
        <v>33</v>
      </c>
      <c r="N1056" s="0" t="s">
        <v>4185</v>
      </c>
      <c r="O1056" s="0" t="s">
        <v>35</v>
      </c>
      <c r="P1056" s="0" t="s">
        <v>39</v>
      </c>
      <c r="Q1056" s="0" t="s">
        <v>4221</v>
      </c>
      <c r="R1056" s="0" t="s">
        <v>4218</v>
      </c>
      <c r="S1056" s="0" t="s">
        <v>4185</v>
      </c>
      <c r="T1056" s="0">
        <f>HYPERLINK("https://storage.sslt.ae/ItemVariation/08DCFA78-DB2E-4C84-8C0B-9FB2FE921F9C/EBBB400E-0C55-442A-8E19-A615334E6151.png","Variant Image")</f>
      </c>
      <c r="U1056" s="0">
        <f>HYPERLINK("https://ec-qa-storage.kldlms.com/Item/08DCFA78-DB2E-4C84-8C0B-9FB2FE921F9C/7A73030A-98AF-4C93-8C3D-2DC33BAE8047.png","Thumbnail Image")</f>
      </c>
      <c r="V1056" s="0">
        <f>HYPERLINK("https://ec-qa-storage.kldlms.com/ItemGallery/08DCFA78-DB2E-4C84-8C0B-9FB2FE921F9C/ABA5B6B8-AFFD-44E7-833B-1FFF49132A9B.png","Gallery Image ")</f>
      </c>
      <c r="W1056" s="0" t="s">
        <v>22</v>
      </c>
      <c r="X1056" s="0" t="s">
        <v>4222</v>
      </c>
    </row>
    <row r="1057">
      <c r="A1057" s="0" t="s">
        <v>4223</v>
      </c>
      <c r="B1057" s="0" t="s">
        <v>4223</v>
      </c>
      <c r="C1057" s="0" t="s">
        <v>4224</v>
      </c>
      <c r="D1057" s="0" t="s">
        <v>27</v>
      </c>
      <c r="E1057" s="0" t="s">
        <v>3526</v>
      </c>
      <c r="F1057" s="0" t="s">
        <v>3137</v>
      </c>
      <c r="G1057" s="0" t="s">
        <v>4223</v>
      </c>
      <c r="H1057" s="0" t="s">
        <v>4223</v>
      </c>
      <c r="I1057" s="0" t="s">
        <v>4225</v>
      </c>
      <c r="J1057" s="0" t="s">
        <v>4225</v>
      </c>
      <c r="K1057" s="0" t="s">
        <v>3994</v>
      </c>
      <c r="L1057" s="0" t="s">
        <v>32</v>
      </c>
      <c r="M1057" s="0" t="s">
        <v>61</v>
      </c>
      <c r="N1057" s="0" t="s">
        <v>1030</v>
      </c>
      <c r="O1057" s="0" t="s">
        <v>35</v>
      </c>
      <c r="P1057" s="0" t="s">
        <v>39</v>
      </c>
      <c r="Q1057" s="0" t="s">
        <v>3995</v>
      </c>
      <c r="R1057" s="0" t="s">
        <v>4224</v>
      </c>
      <c r="S1057" s="0" t="s">
        <v>1030</v>
      </c>
      <c r="T1057" s="0">
        <f>HYPERLINK("https://storage.sslt.ae/ItemVariation/08DCFA78-DB8A-4540-8D14-C0B26FABC1EB/24BC745B-DC4F-4F63-BF27-87AC8A8BB4F6.png","Variant Image")</f>
      </c>
      <c r="U1057" s="0">
        <f>HYPERLINK("https://ec-qa-storage.kldlms.com/Item/08DCFA78-DB8A-4540-8D14-C0B26FABC1EB/57B9C7A5-11F5-4DE2-A6F9-0E8C31B33D84.jpg","Thumbnail Image")</f>
      </c>
      <c r="V1057" s="0">
        <f>HYPERLINK("https://ec-qa-storage.kldlms.com/ItemGallery/08DCFA78-DB8A-4540-8D14-C0B26FABC1EB/0497D0E1-82F1-4BC5-8B02-EF2CE8384837.jpg","Gallery Image ")</f>
      </c>
      <c r="W1057" s="0" t="s">
        <v>22</v>
      </c>
    </row>
    <row r="1058">
      <c r="P1058" s="0" t="s">
        <v>527</v>
      </c>
      <c r="Q1058" s="0" t="s">
        <v>3994</v>
      </c>
      <c r="R1058" s="0" t="s">
        <v>4224</v>
      </c>
      <c r="S1058" s="0" t="s">
        <v>32</v>
      </c>
      <c r="T1058" s="0">
        <f>HYPERLINK("https://ec-qa-storage.kldlms.com/ItemVariation/08DCFA78-DB8A-4540-8D14-C0B26FABC1EB/5B310249-12BD-4B74-A1FB-0EFA8F5E0EB3.jpg","Variant Image")</f>
      </c>
    </row>
    <row r="1059">
      <c r="A1059" s="0" t="s">
        <v>4200</v>
      </c>
      <c r="B1059" s="0" t="s">
        <v>4200</v>
      </c>
      <c r="C1059" s="0" t="s">
        <v>4226</v>
      </c>
      <c r="D1059" s="0" t="s">
        <v>27</v>
      </c>
      <c r="E1059" s="0" t="s">
        <v>4196</v>
      </c>
      <c r="F1059" s="0" t="s">
        <v>58</v>
      </c>
      <c r="G1059" s="0" t="s">
        <v>4200</v>
      </c>
      <c r="H1059" s="0" t="s">
        <v>4200</v>
      </c>
      <c r="I1059" s="0" t="s">
        <v>615</v>
      </c>
      <c r="J1059" s="0" t="s">
        <v>615</v>
      </c>
      <c r="K1059" s="0" t="s">
        <v>2370</v>
      </c>
      <c r="L1059" s="0" t="s">
        <v>32</v>
      </c>
      <c r="M1059" s="0" t="s">
        <v>33</v>
      </c>
      <c r="N1059" s="0" t="s">
        <v>243</v>
      </c>
      <c r="O1059" s="0" t="s">
        <v>35</v>
      </c>
      <c r="P1059" s="0" t="s">
        <v>39</v>
      </c>
      <c r="Q1059" s="0" t="s">
        <v>2371</v>
      </c>
      <c r="R1059" s="0" t="s">
        <v>4226</v>
      </c>
      <c r="S1059" s="0" t="s">
        <v>243</v>
      </c>
      <c r="T1059" s="0">
        <f>HYPERLINK("https://storage.sslt.ae/ItemVariation/08DCFA78-DBE7-4105-8EF3-F41F99A88E72/4A43B14E-4EEB-416C-A332-397ED602CFAC.png","Variant Image")</f>
      </c>
      <c r="U1059" s="0">
        <f>HYPERLINK("https://ec-qa-storage.kldlms.com/Item/08DCFA78-DBE7-4105-8EF3-F41F99A88E72/E0122411-630D-4C5D-8D56-1906CEF5A856.png","Thumbnail Image")</f>
      </c>
      <c r="V1059" s="0">
        <f>HYPERLINK("https://ec-qa-storage.kldlms.com/ItemGallery/08DCFA78-DBE7-4105-8EF3-F41F99A88E72/BE533288-CE0B-4DE6-88F2-49D913F424C2.png","Gallery Image ")</f>
      </c>
      <c r="W1059" s="0" t="s">
        <v>22</v>
      </c>
      <c r="X1059" s="0" t="s">
        <v>4227</v>
      </c>
    </row>
    <row r="1060">
      <c r="A1060" s="0" t="s">
        <v>4228</v>
      </c>
      <c r="B1060" s="0" t="s">
        <v>4228</v>
      </c>
      <c r="C1060" s="0" t="s">
        <v>4229</v>
      </c>
      <c r="D1060" s="0" t="s">
        <v>27</v>
      </c>
      <c r="E1060" s="0" t="s">
        <v>4196</v>
      </c>
      <c r="F1060" s="0" t="s">
        <v>58</v>
      </c>
      <c r="G1060" s="0" t="s">
        <v>4228</v>
      </c>
      <c r="H1060" s="0" t="s">
        <v>4228</v>
      </c>
      <c r="I1060" s="0" t="s">
        <v>615</v>
      </c>
      <c r="J1060" s="0" t="s">
        <v>615</v>
      </c>
      <c r="K1060" s="0" t="s">
        <v>526</v>
      </c>
      <c r="L1060" s="0" t="s">
        <v>32</v>
      </c>
      <c r="M1060" s="0" t="s">
        <v>33</v>
      </c>
      <c r="N1060" s="0" t="s">
        <v>3711</v>
      </c>
      <c r="O1060" s="0" t="s">
        <v>35</v>
      </c>
      <c r="P1060" s="0" t="s">
        <v>39</v>
      </c>
      <c r="Q1060" s="0" t="s">
        <v>4230</v>
      </c>
      <c r="R1060" s="0" t="s">
        <v>4229</v>
      </c>
      <c r="S1060" s="0" t="s">
        <v>3711</v>
      </c>
      <c r="T1060" s="0">
        <f>HYPERLINK("https://storage.sslt.ae/ItemVariation/08DCFA78-DC42-49A3-8DF3-73A7726E5E06/20A79413-FAD5-4291-A249-0A2D19273B5B.png","Variant Image")</f>
      </c>
      <c r="U1060" s="0">
        <f>HYPERLINK("https://ec-qa-storage.kldlms.com/Item/08DCFA78-DC42-49A3-8DF3-73A7726E5E06/CECC6B47-E5A7-4617-928D-62BFFA49126F.png","Thumbnail Image")</f>
      </c>
      <c r="V1060" s="0">
        <f>HYPERLINK("https://ec-qa-storage.kldlms.com/ItemGallery/08DCFA78-DC42-49A3-8DF3-73A7726E5E06/2655B741-7DD6-4945-8767-8B8ABC0AF66D.png","Gallery Image ")</f>
      </c>
      <c r="W1060" s="0" t="s">
        <v>22</v>
      </c>
      <c r="X1060" s="0" t="s">
        <v>4231</v>
      </c>
    </row>
    <row r="1061">
      <c r="A1061" s="0" t="s">
        <v>4200</v>
      </c>
      <c r="B1061" s="0" t="s">
        <v>4200</v>
      </c>
      <c r="C1061" s="0" t="s">
        <v>4232</v>
      </c>
      <c r="D1061" s="0" t="s">
        <v>27</v>
      </c>
      <c r="E1061" s="0" t="s">
        <v>4196</v>
      </c>
      <c r="F1061" s="0" t="s">
        <v>58</v>
      </c>
      <c r="G1061" s="0" t="s">
        <v>4200</v>
      </c>
      <c r="H1061" s="0" t="s">
        <v>4200</v>
      </c>
      <c r="I1061" s="0" t="s">
        <v>615</v>
      </c>
      <c r="J1061" s="0" t="s">
        <v>615</v>
      </c>
      <c r="K1061" s="0" t="s">
        <v>4233</v>
      </c>
      <c r="L1061" s="0" t="s">
        <v>32</v>
      </c>
      <c r="M1061" s="0" t="s">
        <v>33</v>
      </c>
      <c r="N1061" s="0" t="s">
        <v>1187</v>
      </c>
      <c r="O1061" s="0" t="s">
        <v>35</v>
      </c>
      <c r="P1061" s="0" t="s">
        <v>39</v>
      </c>
      <c r="Q1061" s="0" t="s">
        <v>4234</v>
      </c>
      <c r="R1061" s="0" t="s">
        <v>4232</v>
      </c>
      <c r="S1061" s="0" t="s">
        <v>1187</v>
      </c>
      <c r="T1061" s="0">
        <f>HYPERLINK("https://storage.sslt.ae/ItemVariation/08DCFA78-DC9D-4D7C-87F5-29410237E09C/ECE69771-DA79-4D47-98B6-1A2804491377.png","Variant Image")</f>
      </c>
      <c r="U1061" s="0">
        <f>HYPERLINK("https://ec-qa-storage.kldlms.com/Item/08DCFA78-DC9D-4D7C-87F5-29410237E09C/9FF6829A-1F21-476C-8B2C-C0AEB882729F.png","Thumbnail Image")</f>
      </c>
      <c r="V1061" s="0">
        <f>HYPERLINK("https://ec-qa-storage.kldlms.com/ItemGallery/08DCFA78-DC9D-4D7C-87F5-29410237E09C/3F4BA9D4-5E71-438E-9AFC-5A57036E95AA.png","Gallery Image ")</f>
      </c>
      <c r="W1061" s="0" t="s">
        <v>22</v>
      </c>
      <c r="X1061" s="0" t="s">
        <v>4235</v>
      </c>
    </row>
    <row r="1062">
      <c r="A1062" s="0" t="s">
        <v>4236</v>
      </c>
      <c r="B1062" s="0" t="s">
        <v>4236</v>
      </c>
      <c r="C1062" s="0" t="s">
        <v>4237</v>
      </c>
      <c r="D1062" s="0" t="s">
        <v>27</v>
      </c>
      <c r="E1062" s="0" t="s">
        <v>4238</v>
      </c>
      <c r="F1062" s="0" t="s">
        <v>58</v>
      </c>
      <c r="G1062" s="0" t="s">
        <v>4236</v>
      </c>
      <c r="H1062" s="0" t="s">
        <v>4236</v>
      </c>
      <c r="I1062" s="0" t="s">
        <v>615</v>
      </c>
      <c r="J1062" s="0" t="s">
        <v>615</v>
      </c>
      <c r="K1062" s="0" t="s">
        <v>3697</v>
      </c>
      <c r="L1062" s="0" t="s">
        <v>32</v>
      </c>
      <c r="M1062" s="0" t="s">
        <v>33</v>
      </c>
      <c r="N1062" s="0" t="s">
        <v>4239</v>
      </c>
      <c r="O1062" s="0" t="s">
        <v>35</v>
      </c>
      <c r="P1062" s="0" t="s">
        <v>39</v>
      </c>
      <c r="Q1062" s="0" t="s">
        <v>3698</v>
      </c>
      <c r="R1062" s="0" t="s">
        <v>4237</v>
      </c>
      <c r="S1062" s="0" t="s">
        <v>4239</v>
      </c>
      <c r="T1062" s="0">
        <f>HYPERLINK("https://storage.sslt.ae/ItemVariation/08DCFA78-DCFA-4B57-88D5-1EEEE49295A7/D6AAEECA-7AD8-4BF3-9629-2643E0159BBE.png","Variant Image")</f>
      </c>
      <c r="U1062" s="0">
        <f>HYPERLINK("https://ec-qa-storage.kldlms.com/Item/08DCFA78-DCFA-4B57-88D5-1EEEE49295A7/675CD305-78CA-466E-9CF1-EF03FEC26517.png","Thumbnail Image")</f>
      </c>
      <c r="V1062" s="0">
        <f>HYPERLINK("https://ec-qa-storage.kldlms.com/ItemGallery/08DCFA78-DCFA-4B57-88D5-1EEEE49295A7/3548AE2D-0C9E-4CD2-800F-966399C12A9B.png","Gallery Image ")</f>
      </c>
      <c r="W1062" s="0" t="s">
        <v>22</v>
      </c>
      <c r="X1062" s="0" t="s">
        <v>4240</v>
      </c>
    </row>
    <row r="1063">
      <c r="A1063" s="0" t="s">
        <v>4241</v>
      </c>
      <c r="B1063" s="0" t="s">
        <v>4241</v>
      </c>
      <c r="C1063" s="0" t="s">
        <v>4242</v>
      </c>
      <c r="D1063" s="0" t="s">
        <v>27</v>
      </c>
      <c r="E1063" s="0" t="s">
        <v>4238</v>
      </c>
      <c r="F1063" s="0" t="s">
        <v>58</v>
      </c>
      <c r="G1063" s="0" t="s">
        <v>4241</v>
      </c>
      <c r="H1063" s="0" t="s">
        <v>4241</v>
      </c>
      <c r="I1063" s="0" t="s">
        <v>615</v>
      </c>
      <c r="J1063" s="0" t="s">
        <v>615</v>
      </c>
      <c r="K1063" s="0" t="s">
        <v>4243</v>
      </c>
      <c r="L1063" s="0" t="s">
        <v>32</v>
      </c>
      <c r="M1063" s="0" t="s">
        <v>33</v>
      </c>
      <c r="N1063" s="0" t="s">
        <v>2234</v>
      </c>
      <c r="O1063" s="0" t="s">
        <v>35</v>
      </c>
      <c r="P1063" s="0" t="s">
        <v>39</v>
      </c>
      <c r="Q1063" s="0" t="s">
        <v>4244</v>
      </c>
      <c r="R1063" s="0" t="s">
        <v>4242</v>
      </c>
      <c r="S1063" s="0" t="s">
        <v>2234</v>
      </c>
      <c r="T1063" s="0">
        <f>HYPERLINK("https://storage.sslt.ae/ItemVariation/08DCFA78-DE0D-4946-8E2B-91EC8EC88FED/5FFFA039-C1B7-4EF9-9187-6BF9EE5702CE.png","Variant Image")</f>
      </c>
      <c r="U1063" s="0">
        <f>HYPERLINK("https://ec-qa-storage.kldlms.com/Item/08DCFA78-DE0D-4946-8E2B-91EC8EC88FED/ADC7F9F3-C3B7-40C2-8AE9-C4D746105EB9.png","Thumbnail Image")</f>
      </c>
      <c r="V1063" s="0">
        <f>HYPERLINK("https://ec-qa-storage.kldlms.com/ItemGallery/08DCFA78-DE0D-4946-8E2B-91EC8EC88FED/9F2C43A7-013A-448E-941B-A816AA146650.png","Gallery Image ")</f>
      </c>
      <c r="W1063" s="0" t="s">
        <v>22</v>
      </c>
      <c r="X1063" s="0" t="s">
        <v>4245</v>
      </c>
    </row>
    <row r="1064">
      <c r="A1064" s="0" t="s">
        <v>4246</v>
      </c>
      <c r="B1064" s="0" t="s">
        <v>4246</v>
      </c>
      <c r="C1064" s="0" t="s">
        <v>4247</v>
      </c>
      <c r="D1064" s="0" t="s">
        <v>27</v>
      </c>
      <c r="E1064" s="0" t="s">
        <v>4238</v>
      </c>
      <c r="F1064" s="0" t="s">
        <v>58</v>
      </c>
      <c r="G1064" s="0" t="s">
        <v>4246</v>
      </c>
      <c r="H1064" s="0" t="s">
        <v>4246</v>
      </c>
      <c r="I1064" s="0" t="s">
        <v>615</v>
      </c>
      <c r="J1064" s="0" t="s">
        <v>615</v>
      </c>
      <c r="K1064" s="0" t="s">
        <v>3358</v>
      </c>
      <c r="L1064" s="0" t="s">
        <v>32</v>
      </c>
      <c r="M1064" s="0" t="s">
        <v>33</v>
      </c>
      <c r="N1064" s="0" t="s">
        <v>846</v>
      </c>
      <c r="O1064" s="0" t="s">
        <v>35</v>
      </c>
      <c r="P1064" s="0" t="s">
        <v>39</v>
      </c>
      <c r="Q1064" s="0" t="s">
        <v>3359</v>
      </c>
      <c r="R1064" s="0" t="s">
        <v>4247</v>
      </c>
      <c r="S1064" s="0" t="s">
        <v>846</v>
      </c>
      <c r="T1064" s="0">
        <f>HYPERLINK("https://storage.sslt.ae/ItemVariation/08DCFA78-DE6B-4273-8CCC-C90FEE401C1A/3A9CE67F-E4B5-47FC-8387-98C70CBB25C6.png","Variant Image")</f>
      </c>
      <c r="U1064" s="0">
        <f>HYPERLINK("https://ec-qa-storage.kldlms.com/Item/08DCFA78-DE6B-4273-8CCC-C90FEE401C1A/DE4D2D91-805B-4A72-B06D-94F140EA4C27.png","Thumbnail Image")</f>
      </c>
      <c r="V1064" s="0">
        <f>HYPERLINK("https://ec-qa-storage.kldlms.com/ItemGallery/08DCFA78-DE6B-4273-8CCC-C90FEE401C1A/92B07DFF-FCCE-4356-BD07-FA64EB5CBA68.png","Gallery Image ")</f>
      </c>
      <c r="W1064" s="0" t="s">
        <v>22</v>
      </c>
      <c r="X1064" s="0" t="s">
        <v>4248</v>
      </c>
    </row>
    <row r="1065">
      <c r="A1065" s="0" t="s">
        <v>4249</v>
      </c>
      <c r="B1065" s="0" t="s">
        <v>4249</v>
      </c>
      <c r="C1065" s="0" t="s">
        <v>4250</v>
      </c>
      <c r="D1065" s="0" t="s">
        <v>27</v>
      </c>
      <c r="E1065" s="0" t="s">
        <v>4238</v>
      </c>
      <c r="F1065" s="0" t="s">
        <v>58</v>
      </c>
      <c r="G1065" s="0" t="s">
        <v>4249</v>
      </c>
      <c r="H1065" s="0" t="s">
        <v>4249</v>
      </c>
      <c r="I1065" s="0" t="s">
        <v>615</v>
      </c>
      <c r="J1065" s="0" t="s">
        <v>615</v>
      </c>
      <c r="K1065" s="0" t="s">
        <v>3891</v>
      </c>
      <c r="L1065" s="0" t="s">
        <v>32</v>
      </c>
      <c r="M1065" s="0" t="s">
        <v>33</v>
      </c>
      <c r="N1065" s="0" t="s">
        <v>218</v>
      </c>
      <c r="O1065" s="0" t="s">
        <v>35</v>
      </c>
      <c r="P1065" s="0" t="s">
        <v>39</v>
      </c>
      <c r="Q1065" s="0" t="s">
        <v>3892</v>
      </c>
      <c r="R1065" s="0" t="s">
        <v>4250</v>
      </c>
      <c r="S1065" s="0" t="s">
        <v>218</v>
      </c>
      <c r="T1065" s="0">
        <f>HYPERLINK("https://storage.sslt.ae/ItemVariation/08DCFA78-DEC8-4D96-8720-37ABB11D1DF4/E6805D2C-8B49-4318-8198-CEDAD05BF054.png","Variant Image")</f>
      </c>
      <c r="U1065" s="0">
        <f>HYPERLINK("https://ec-qa-storage.kldlms.com/Item/08DCFA78-DEC8-4D96-8720-37ABB11D1DF4/2090088B-62EC-41DB-9BDB-55B0C09910EE.png","Thumbnail Image")</f>
      </c>
      <c r="V1065" s="0">
        <f>HYPERLINK("https://ec-qa-storage.kldlms.com/ItemGallery/08DCFA78-DEC8-4D96-8720-37ABB11D1DF4/8B08AFC8-FF26-466E-B590-F3696A1976F1.png","Gallery Image ")</f>
      </c>
      <c r="W1065" s="0" t="s">
        <v>22</v>
      </c>
      <c r="X1065" s="0" t="s">
        <v>4251</v>
      </c>
    </row>
    <row r="1066">
      <c r="A1066" s="0" t="s">
        <v>4252</v>
      </c>
      <c r="B1066" s="0" t="s">
        <v>4252</v>
      </c>
      <c r="C1066" s="0" t="s">
        <v>4253</v>
      </c>
      <c r="D1066" s="0" t="s">
        <v>27</v>
      </c>
      <c r="E1066" s="0" t="s">
        <v>4205</v>
      </c>
      <c r="F1066" s="0" t="s">
        <v>58</v>
      </c>
      <c r="G1066" s="0" t="s">
        <v>4252</v>
      </c>
      <c r="H1066" s="0" t="s">
        <v>4252</v>
      </c>
      <c r="I1066" s="0" t="s">
        <v>615</v>
      </c>
      <c r="J1066" s="0" t="s">
        <v>615</v>
      </c>
      <c r="K1066" s="0" t="s">
        <v>3474</v>
      </c>
      <c r="L1066" s="0" t="s">
        <v>32</v>
      </c>
      <c r="M1066" s="0" t="s">
        <v>33</v>
      </c>
      <c r="N1066" s="0" t="s">
        <v>280</v>
      </c>
      <c r="O1066" s="0" t="s">
        <v>35</v>
      </c>
      <c r="P1066" s="0" t="s">
        <v>39</v>
      </c>
      <c r="Q1066" s="0" t="s">
        <v>3475</v>
      </c>
      <c r="R1066" s="0" t="s">
        <v>4253</v>
      </c>
      <c r="S1066" s="0" t="s">
        <v>280</v>
      </c>
      <c r="T1066" s="0">
        <f>HYPERLINK("https://storage.sslt.ae/ItemVariation/08DCFA78-DF7E-4E00-89C4-1E7D332DEBB0/83335982-DA0E-4C98-BB66-2CCA4B4BB2B6.png","Variant Image")</f>
      </c>
      <c r="U1066" s="0">
        <f>HYPERLINK("https://ec-qa-storage.kldlms.com/Item/08DCFA78-DF7E-4E00-89C4-1E7D332DEBB0/44B64F4B-314F-4B76-9061-2D8ED47962EA.png","Thumbnail Image")</f>
      </c>
      <c r="V1066" s="0">
        <f>HYPERLINK("https://ec-qa-storage.kldlms.com/ItemGallery/08DCFA78-DF7E-4E00-89C4-1E7D332DEBB0/50196654-7B06-4176-8D23-12F617C8BD24.png","Gallery Image ")</f>
      </c>
      <c r="W1066" s="0" t="s">
        <v>22</v>
      </c>
      <c r="X1066" s="0" t="s">
        <v>4254</v>
      </c>
    </row>
    <row r="1067">
      <c r="A1067" s="0" t="s">
        <v>4255</v>
      </c>
      <c r="B1067" s="0" t="s">
        <v>4255</v>
      </c>
      <c r="C1067" s="0" t="s">
        <v>4256</v>
      </c>
      <c r="D1067" s="0" t="s">
        <v>27</v>
      </c>
      <c r="E1067" s="0" t="s">
        <v>4219</v>
      </c>
      <c r="F1067" s="0" t="s">
        <v>58</v>
      </c>
      <c r="G1067" s="0" t="s">
        <v>4255</v>
      </c>
      <c r="H1067" s="0" t="s">
        <v>4255</v>
      </c>
      <c r="I1067" s="0" t="s">
        <v>615</v>
      </c>
      <c r="J1067" s="0" t="s">
        <v>615</v>
      </c>
      <c r="K1067" s="0" t="s">
        <v>4257</v>
      </c>
      <c r="L1067" s="0" t="s">
        <v>32</v>
      </c>
      <c r="M1067" s="0" t="s">
        <v>33</v>
      </c>
      <c r="N1067" s="0" t="s">
        <v>142</v>
      </c>
      <c r="O1067" s="0" t="s">
        <v>35</v>
      </c>
      <c r="P1067" s="0" t="s">
        <v>39</v>
      </c>
      <c r="Q1067" s="0" t="s">
        <v>4258</v>
      </c>
      <c r="R1067" s="0" t="s">
        <v>4256</v>
      </c>
      <c r="S1067" s="0" t="s">
        <v>142</v>
      </c>
      <c r="T1067" s="0">
        <f>HYPERLINK("https://storage.sslt.ae/ItemVariation/08DCFA78-DFDC-4890-8955-53BAF504DDF6/004D6A6B-6902-4953-9651-D6288C729A58.png","Variant Image")</f>
      </c>
      <c r="U1067" s="0">
        <f>HYPERLINK("https://ec-qa-storage.kldlms.com/Item/08DCFA78-DFDC-4890-8955-53BAF504DDF6/9FC6C4AA-3F44-4068-9F0E-AD2AA177B286.png","Thumbnail Image")</f>
      </c>
      <c r="V1067" s="0">
        <f>HYPERLINK("https://ec-qa-storage.kldlms.com/ItemGallery/08DCFA78-DFDC-4890-8955-53BAF504DDF6/E69655AB-664F-4727-8F8E-60926DA44B5D.png","Gallery Image ")</f>
      </c>
      <c r="W1067" s="0" t="s">
        <v>22</v>
      </c>
      <c r="X1067" s="0" t="s">
        <v>4259</v>
      </c>
    </row>
    <row r="1068">
      <c r="A1068" s="0" t="s">
        <v>4260</v>
      </c>
      <c r="B1068" s="0" t="s">
        <v>4260</v>
      </c>
      <c r="C1068" s="0" t="s">
        <v>4261</v>
      </c>
      <c r="D1068" s="0" t="s">
        <v>27</v>
      </c>
      <c r="E1068" s="0" t="s">
        <v>4219</v>
      </c>
      <c r="F1068" s="0" t="s">
        <v>58</v>
      </c>
      <c r="G1068" s="0" t="s">
        <v>4260</v>
      </c>
      <c r="H1068" s="0" t="s">
        <v>4260</v>
      </c>
      <c r="I1068" s="0" t="s">
        <v>615</v>
      </c>
      <c r="J1068" s="0" t="s">
        <v>615</v>
      </c>
      <c r="K1068" s="0" t="s">
        <v>3031</v>
      </c>
      <c r="L1068" s="0" t="s">
        <v>32</v>
      </c>
      <c r="M1068" s="0" t="s">
        <v>33</v>
      </c>
      <c r="N1068" s="0" t="s">
        <v>243</v>
      </c>
      <c r="O1068" s="0" t="s">
        <v>35</v>
      </c>
      <c r="P1068" s="0" t="s">
        <v>39</v>
      </c>
      <c r="Q1068" s="0" t="s">
        <v>3032</v>
      </c>
      <c r="R1068" s="0" t="s">
        <v>4261</v>
      </c>
      <c r="S1068" s="0" t="s">
        <v>243</v>
      </c>
      <c r="T1068" s="0">
        <f>HYPERLINK("https://storage.sslt.ae/ItemVariation/08DCFA78-E038-40CF-85AA-AA1713D7726D/D24C8601-A6C8-42B0-BED8-033008F24291.png","Variant Image")</f>
      </c>
      <c r="U1068" s="0">
        <f>HYPERLINK("https://ec-qa-storage.kldlms.com/Item/08DCFA78-E038-40CF-85AA-AA1713D7726D/624CCD14-E863-4E8B-9636-ED18A95C34E1.png","Thumbnail Image")</f>
      </c>
      <c r="V1068" s="0">
        <f>HYPERLINK("https://ec-qa-storage.kldlms.com/ItemGallery/08DCFA78-E038-40CF-85AA-AA1713D7726D/7DC13082-9154-4727-AF63-BB515CC75F7B.png","Gallery Image ")</f>
      </c>
      <c r="W1068" s="0" t="s">
        <v>22</v>
      </c>
      <c r="X1068" s="0" t="s">
        <v>4262</v>
      </c>
    </row>
    <row r="1069">
      <c r="A1069" s="0" t="s">
        <v>4263</v>
      </c>
      <c r="B1069" s="0" t="s">
        <v>4263</v>
      </c>
      <c r="C1069" s="0" t="s">
        <v>4264</v>
      </c>
      <c r="D1069" s="0" t="s">
        <v>27</v>
      </c>
      <c r="E1069" s="0" t="s">
        <v>3526</v>
      </c>
      <c r="F1069" s="0" t="s">
        <v>3137</v>
      </c>
      <c r="G1069" s="0" t="s">
        <v>4263</v>
      </c>
      <c r="H1069" s="0" t="s">
        <v>4263</v>
      </c>
      <c r="I1069" s="0" t="s">
        <v>4265</v>
      </c>
      <c r="J1069" s="0" t="s">
        <v>4265</v>
      </c>
      <c r="K1069" s="0" t="s">
        <v>4266</v>
      </c>
      <c r="L1069" s="0" t="s">
        <v>32</v>
      </c>
      <c r="M1069" s="0" t="s">
        <v>61</v>
      </c>
      <c r="N1069" s="0" t="s">
        <v>202</v>
      </c>
      <c r="O1069" s="0" t="s">
        <v>35</v>
      </c>
      <c r="P1069" s="0" t="s">
        <v>39</v>
      </c>
      <c r="Q1069" s="0" t="s">
        <v>4267</v>
      </c>
      <c r="R1069" s="0" t="s">
        <v>4264</v>
      </c>
      <c r="S1069" s="0" t="s">
        <v>202</v>
      </c>
      <c r="T1069" s="0">
        <f>HYPERLINK("https://storage.sslt.ae/ItemVariation/08DCFA78-E093-433C-842B-97ABCDDB623A/D5F4FD4E-F15C-4092-BE83-5246070998D0.png","Variant Image")</f>
      </c>
      <c r="U1069" s="0">
        <f>HYPERLINK("https://ec-qa-storage.kldlms.com/Item/08DCFA78-E093-433C-842B-97ABCDDB623A/12F9B360-2775-4E91-B836-29135E4C8F96.png","Thumbnail Image")</f>
      </c>
      <c r="V1069" s="0">
        <f>HYPERLINK("https://ec-qa-storage.kldlms.com/ItemGallery/08DCFA78-E093-433C-842B-97ABCDDB623A/663F624C-DD3E-434A-8101-49CFB882E98C.jpg","Gallery Image ")</f>
      </c>
      <c r="W1069" s="0" t="s">
        <v>22</v>
      </c>
    </row>
    <row r="1070">
      <c r="P1070" s="0" t="s">
        <v>527</v>
      </c>
      <c r="Q1070" s="0" t="s">
        <v>4266</v>
      </c>
      <c r="R1070" s="0" t="s">
        <v>4264</v>
      </c>
      <c r="S1070" s="0" t="s">
        <v>32</v>
      </c>
      <c r="T1070" s="0">
        <f>HYPERLINK("https://ec-qa-storage.kldlms.com/ItemVariation/08DCFA78-E093-433C-842B-97ABCDDB623A/9562CD0C-9C5A-414C-8A54-89E56ECE5D92.png","Variant Image")</f>
      </c>
    </row>
    <row r="1071">
      <c r="P1071" s="0" t="s">
        <v>1016</v>
      </c>
      <c r="Q1071" s="0" t="s">
        <v>4266</v>
      </c>
      <c r="R1071" s="0" t="s">
        <v>4268</v>
      </c>
      <c r="S1071" s="0" t="s">
        <v>32</v>
      </c>
      <c r="T1071" s="0">
        <f>HYPERLINK("https://ec-qa-storage.kldlms.com/ItemVariation/08DCFA78-E093-433C-842B-97ABCDDB623A/FA967DB6-EB5A-4E3F-BA28-689AE2D509ED.jpg","Variant Image")</f>
      </c>
    </row>
    <row r="1072">
      <c r="A1072" s="0" t="s">
        <v>4269</v>
      </c>
      <c r="B1072" s="0" t="s">
        <v>4269</v>
      </c>
      <c r="C1072" s="0" t="s">
        <v>4268</v>
      </c>
      <c r="D1072" s="0" t="s">
        <v>27</v>
      </c>
      <c r="E1072" s="0" t="s">
        <v>4205</v>
      </c>
      <c r="F1072" s="0" t="s">
        <v>58</v>
      </c>
      <c r="G1072" s="0" t="s">
        <v>4269</v>
      </c>
      <c r="H1072" s="0" t="s">
        <v>4269</v>
      </c>
      <c r="I1072" s="0" t="s">
        <v>615</v>
      </c>
      <c r="J1072" s="0" t="s">
        <v>615</v>
      </c>
      <c r="K1072" s="0" t="s">
        <v>4026</v>
      </c>
      <c r="L1072" s="0" t="s">
        <v>32</v>
      </c>
      <c r="M1072" s="0" t="s">
        <v>33</v>
      </c>
      <c r="N1072" s="0" t="s">
        <v>787</v>
      </c>
      <c r="O1072" s="0" t="s">
        <v>35</v>
      </c>
      <c r="P1072" s="0" t="s">
        <v>39</v>
      </c>
      <c r="Q1072" s="0" t="s">
        <v>4270</v>
      </c>
      <c r="R1072" s="0" t="s">
        <v>4268</v>
      </c>
      <c r="S1072" s="0" t="s">
        <v>787</v>
      </c>
      <c r="T1072" s="0">
        <f>HYPERLINK("https://storage.sslt.ae/ItemVariation/08DCFA78-E0EF-40DC-8466-29B0F4ECD191/329B2641-B95E-479E-B5A4-647F3C7B9540.png","Variant Image")</f>
      </c>
      <c r="U1072" s="0">
        <f>HYPERLINK("https://ec-qa-storage.kldlms.com/Item/08DCFA78-E0EF-40DC-8466-29B0F4ECD191/90EB0076-54F9-4E26-A706-D479A71B87A0.png","Thumbnail Image")</f>
      </c>
      <c r="V1072" s="0">
        <f>HYPERLINK("https://ec-qa-storage.kldlms.com/ItemGallery/08DCFA78-E0EF-40DC-8466-29B0F4ECD191/5ADD818E-F36C-462A-BD62-239D5C803BFC.png","Gallery Image ")</f>
      </c>
      <c r="W1072" s="0" t="s">
        <v>22</v>
      </c>
      <c r="X1072" s="0" t="s">
        <v>4271</v>
      </c>
    </row>
    <row r="1073">
      <c r="A1073" s="0" t="s">
        <v>4272</v>
      </c>
      <c r="B1073" s="0" t="s">
        <v>4272</v>
      </c>
      <c r="C1073" s="0" t="s">
        <v>4273</v>
      </c>
      <c r="D1073" s="0" t="s">
        <v>27</v>
      </c>
      <c r="E1073" s="0" t="s">
        <v>4205</v>
      </c>
      <c r="F1073" s="0" t="s">
        <v>58</v>
      </c>
      <c r="G1073" s="0" t="s">
        <v>4272</v>
      </c>
      <c r="H1073" s="0" t="s">
        <v>4272</v>
      </c>
      <c r="I1073" s="0" t="s">
        <v>615</v>
      </c>
      <c r="J1073" s="0" t="s">
        <v>615</v>
      </c>
      <c r="K1073" s="0" t="s">
        <v>780</v>
      </c>
      <c r="L1073" s="0" t="s">
        <v>32</v>
      </c>
      <c r="M1073" s="0" t="s">
        <v>33</v>
      </c>
      <c r="N1073" s="0" t="s">
        <v>280</v>
      </c>
      <c r="O1073" s="0" t="s">
        <v>35</v>
      </c>
      <c r="P1073" s="0" t="s">
        <v>39</v>
      </c>
      <c r="Q1073" s="0" t="s">
        <v>4055</v>
      </c>
      <c r="R1073" s="0" t="s">
        <v>4273</v>
      </c>
      <c r="S1073" s="0" t="s">
        <v>280</v>
      </c>
      <c r="T1073" s="0">
        <f>HYPERLINK("https://storage.sslt.ae/ItemVariation/08DCFA78-E25F-498A-8893-B76D39BA8F66/0C12F156-63D5-4128-9528-B6FCE4CAA802.png","Variant Image")</f>
      </c>
      <c r="U1073" s="0">
        <f>HYPERLINK("https://ec-qa-storage.kldlms.com/Item/08DCFA78-E25F-498A-8893-B76D39BA8F66/EBC0C374-0AE9-4C51-95E0-D1FF3ABC8FA4.png","Thumbnail Image")</f>
      </c>
      <c r="V1073" s="0">
        <f>HYPERLINK("https://ec-qa-storage.kldlms.com/ItemGallery/08DCFA78-E25F-498A-8893-B76D39BA8F66/06F642F2-025F-4FA0-93E8-5ECE1FC60835.png","Gallery Image ")</f>
      </c>
      <c r="W1073" s="0" t="s">
        <v>22</v>
      </c>
      <c r="X1073" s="0" t="s">
        <v>4274</v>
      </c>
    </row>
    <row r="1074">
      <c r="A1074" s="0" t="s">
        <v>4275</v>
      </c>
      <c r="B1074" s="0" t="s">
        <v>4275</v>
      </c>
      <c r="C1074" s="0" t="s">
        <v>4276</v>
      </c>
      <c r="D1074" s="0" t="s">
        <v>27</v>
      </c>
      <c r="E1074" s="0" t="s">
        <v>4219</v>
      </c>
      <c r="F1074" s="0" t="s">
        <v>58</v>
      </c>
      <c r="G1074" s="0" t="s">
        <v>4275</v>
      </c>
      <c r="H1074" s="0" t="s">
        <v>4275</v>
      </c>
      <c r="I1074" s="0" t="s">
        <v>615</v>
      </c>
      <c r="J1074" s="0" t="s">
        <v>615</v>
      </c>
      <c r="K1074" s="0" t="s">
        <v>4277</v>
      </c>
      <c r="L1074" s="0" t="s">
        <v>32</v>
      </c>
      <c r="M1074" s="0" t="s">
        <v>33</v>
      </c>
      <c r="N1074" s="0" t="s">
        <v>205</v>
      </c>
      <c r="O1074" s="0" t="s">
        <v>35</v>
      </c>
      <c r="P1074" s="0" t="s">
        <v>39</v>
      </c>
      <c r="Q1074" s="0" t="s">
        <v>4278</v>
      </c>
      <c r="R1074" s="0" t="s">
        <v>4276</v>
      </c>
      <c r="S1074" s="0" t="s">
        <v>205</v>
      </c>
      <c r="T1074" s="0">
        <f>HYPERLINK("https://storage.sslt.ae/ItemVariation/08DCFA78-E3CE-4954-833C-4516A52E8E15/04F4B85F-455F-431D-8F82-C5370E13C598.png","Variant Image")</f>
      </c>
      <c r="U1074" s="0">
        <f>HYPERLINK("https://ec-qa-storage.kldlms.com/Item/08DCFA78-E3CE-4954-833C-4516A52E8E15/9CCE372E-7290-4A37-B1F5-5F30988D780A.png","Thumbnail Image")</f>
      </c>
      <c r="V1074" s="0">
        <f>HYPERLINK("https://ec-qa-storage.kldlms.com/ItemGallery/08DCFA78-E3CE-4954-833C-4516A52E8E15/45E675D6-DCFD-468D-9F36-DF836C255DD9.png","Gallery Image ")</f>
      </c>
      <c r="W1074" s="0" t="s">
        <v>22</v>
      </c>
      <c r="X1074" s="0" t="s">
        <v>4279</v>
      </c>
    </row>
    <row r="1075">
      <c r="A1075" s="0" t="s">
        <v>4280</v>
      </c>
      <c r="B1075" s="0" t="s">
        <v>4280</v>
      </c>
      <c r="C1075" s="0" t="s">
        <v>4281</v>
      </c>
      <c r="D1075" s="0" t="s">
        <v>27</v>
      </c>
      <c r="E1075" s="0" t="s">
        <v>4196</v>
      </c>
      <c r="F1075" s="0" t="s">
        <v>58</v>
      </c>
      <c r="G1075" s="0" t="s">
        <v>4280</v>
      </c>
      <c r="H1075" s="0" t="s">
        <v>4280</v>
      </c>
      <c r="I1075" s="0" t="s">
        <v>615</v>
      </c>
      <c r="J1075" s="0" t="s">
        <v>615</v>
      </c>
      <c r="K1075" s="0" t="s">
        <v>4282</v>
      </c>
      <c r="L1075" s="0" t="s">
        <v>32</v>
      </c>
      <c r="M1075" s="0" t="s">
        <v>33</v>
      </c>
      <c r="N1075" s="0" t="s">
        <v>1220</v>
      </c>
      <c r="O1075" s="0" t="s">
        <v>35</v>
      </c>
      <c r="P1075" s="0" t="s">
        <v>39</v>
      </c>
      <c r="Q1075" s="0" t="s">
        <v>4283</v>
      </c>
      <c r="R1075" s="0" t="s">
        <v>4281</v>
      </c>
      <c r="S1075" s="0" t="s">
        <v>1220</v>
      </c>
      <c r="T1075" s="0">
        <f>HYPERLINK("https://storage.sslt.ae/ItemVariation/08DCFA78-E42A-4966-8613-22E63A4A954D/FD6B25BB-1989-4441-A139-D964E22B4F57.png","Variant Image")</f>
      </c>
      <c r="U1075" s="0">
        <f>HYPERLINK("https://ec-qa-storage.kldlms.com/Item/08DCFA78-E42A-4966-8613-22E63A4A954D/09AD0330-CA7D-48E5-87D5-B576099569BF.png","Thumbnail Image")</f>
      </c>
      <c r="V1075" s="0">
        <f>HYPERLINK("https://ec-qa-storage.kldlms.com/ItemGallery/08DCFA78-E42A-4966-8613-22E63A4A954D/AB51E6D5-E254-426E-80A5-833BC69C5851.png","Gallery Image ")</f>
      </c>
      <c r="W1075" s="0" t="s">
        <v>22</v>
      </c>
      <c r="X1075" s="0" t="s">
        <v>4284</v>
      </c>
    </row>
    <row r="1076">
      <c r="A1076" s="0" t="s">
        <v>4285</v>
      </c>
      <c r="B1076" s="0" t="s">
        <v>4285</v>
      </c>
      <c r="C1076" s="0" t="s">
        <v>4286</v>
      </c>
      <c r="D1076" s="0" t="s">
        <v>27</v>
      </c>
      <c r="E1076" s="0" t="s">
        <v>4219</v>
      </c>
      <c r="F1076" s="0" t="s">
        <v>58</v>
      </c>
      <c r="G1076" s="0" t="s">
        <v>4285</v>
      </c>
      <c r="H1076" s="0" t="s">
        <v>4285</v>
      </c>
      <c r="I1076" s="0" t="s">
        <v>615</v>
      </c>
      <c r="J1076" s="0" t="s">
        <v>615</v>
      </c>
      <c r="K1076" s="0" t="s">
        <v>761</v>
      </c>
      <c r="L1076" s="0" t="s">
        <v>32</v>
      </c>
      <c r="M1076" s="0" t="s">
        <v>33</v>
      </c>
      <c r="N1076" s="0" t="s">
        <v>280</v>
      </c>
      <c r="O1076" s="0" t="s">
        <v>35</v>
      </c>
      <c r="P1076" s="0" t="s">
        <v>39</v>
      </c>
      <c r="Q1076" s="0" t="s">
        <v>4287</v>
      </c>
      <c r="R1076" s="0" t="s">
        <v>4286</v>
      </c>
      <c r="S1076" s="0" t="s">
        <v>280</v>
      </c>
      <c r="T1076" s="0">
        <f>HYPERLINK("https://storage.sslt.ae/ItemVariation/08DCFA78-E488-41FA-8749-FD394AA7A711/BC277428-A4F8-488B-B4CD-6B0C04B76F50.png","Variant Image")</f>
      </c>
      <c r="U1076" s="0">
        <f>HYPERLINK("https://ec-qa-storage.kldlms.com/Item/08DCFA78-E488-41FA-8749-FD394AA7A711/B26FDB2A-6A92-49B4-96B6-5F85D57A6888.png","Thumbnail Image")</f>
      </c>
      <c r="V1076" s="0">
        <f>HYPERLINK("https://ec-qa-storage.kldlms.com/ItemGallery/08DCFA78-E488-41FA-8749-FD394AA7A711/3EAC11FE-C944-488C-99D6-E913B80E06F6.png","Gallery Image ")</f>
      </c>
      <c r="W1076" s="0" t="s">
        <v>22</v>
      </c>
      <c r="X1076" s="0" t="s">
        <v>4288</v>
      </c>
    </row>
    <row r="1077">
      <c r="A1077" s="0" t="s">
        <v>4289</v>
      </c>
      <c r="B1077" s="0" t="s">
        <v>4289</v>
      </c>
      <c r="C1077" s="0" t="s">
        <v>4290</v>
      </c>
      <c r="D1077" s="0" t="s">
        <v>27</v>
      </c>
      <c r="E1077" s="0" t="s">
        <v>4238</v>
      </c>
      <c r="F1077" s="0" t="s">
        <v>58</v>
      </c>
      <c r="G1077" s="0" t="s">
        <v>4289</v>
      </c>
      <c r="H1077" s="0" t="s">
        <v>4289</v>
      </c>
      <c r="I1077" s="0" t="s">
        <v>615</v>
      </c>
      <c r="J1077" s="0" t="s">
        <v>615</v>
      </c>
      <c r="K1077" s="0" t="s">
        <v>4291</v>
      </c>
      <c r="L1077" s="0" t="s">
        <v>32</v>
      </c>
      <c r="M1077" s="0" t="s">
        <v>33</v>
      </c>
      <c r="N1077" s="0" t="s">
        <v>280</v>
      </c>
      <c r="O1077" s="0" t="s">
        <v>35</v>
      </c>
      <c r="P1077" s="0" t="s">
        <v>39</v>
      </c>
      <c r="Q1077" s="0" t="s">
        <v>4292</v>
      </c>
      <c r="R1077" s="0" t="s">
        <v>4290</v>
      </c>
      <c r="S1077" s="0" t="s">
        <v>280</v>
      </c>
      <c r="T1077" s="0">
        <f>HYPERLINK("https://storage.sslt.ae/ItemVariation/08DCFA78-E4E2-4823-8F5C-4FE756B580B2/AF94BA8C-EA50-4E9A-BE6A-B7C563A9A949.png","Variant Image")</f>
      </c>
      <c r="U1077" s="0">
        <f>HYPERLINK("https://ec-qa-storage.kldlms.com/Item/08DCFA78-E4E2-4823-8F5C-4FE756B580B2/560E5BB2-3E32-4061-890D-8C9B499AF63F.png","Thumbnail Image")</f>
      </c>
      <c r="V1077" s="0">
        <f>HYPERLINK("https://ec-qa-storage.kldlms.com/ItemGallery/08DCFA78-E4E2-4823-8F5C-4FE756B580B2/173C8430-0AD2-41A3-9533-B3EC81A087F9.png","Gallery Image ")</f>
      </c>
      <c r="W1077" s="0" t="s">
        <v>22</v>
      </c>
      <c r="X1077" s="0" t="s">
        <v>4293</v>
      </c>
    </row>
    <row r="1078">
      <c r="A1078" s="0" t="s">
        <v>4294</v>
      </c>
      <c r="B1078" s="0" t="s">
        <v>4294</v>
      </c>
      <c r="C1078" s="0" t="s">
        <v>4295</v>
      </c>
      <c r="D1078" s="0" t="s">
        <v>27</v>
      </c>
      <c r="E1078" s="0" t="s">
        <v>3526</v>
      </c>
      <c r="F1078" s="0" t="s">
        <v>3137</v>
      </c>
      <c r="G1078" s="0" t="s">
        <v>4294</v>
      </c>
      <c r="H1078" s="0" t="s">
        <v>4294</v>
      </c>
      <c r="I1078" s="0" t="s">
        <v>4296</v>
      </c>
      <c r="J1078" s="0" t="s">
        <v>4296</v>
      </c>
      <c r="K1078" s="0" t="s">
        <v>4297</v>
      </c>
      <c r="L1078" s="0" t="s">
        <v>32</v>
      </c>
      <c r="M1078" s="0" t="s">
        <v>61</v>
      </c>
      <c r="N1078" s="0" t="s">
        <v>140</v>
      </c>
      <c r="O1078" s="0" t="s">
        <v>35</v>
      </c>
      <c r="P1078" s="0" t="s">
        <v>39</v>
      </c>
      <c r="Q1078" s="0" t="s">
        <v>4298</v>
      </c>
      <c r="R1078" s="0" t="s">
        <v>4295</v>
      </c>
      <c r="S1078" s="0" t="s">
        <v>140</v>
      </c>
      <c r="T1078" s="0">
        <f>HYPERLINK("https://storage.sslt.ae/ItemVariation/08DCFA78-E53E-49F7-8C52-76735F7AD52B/7B4789D2-43C9-40AC-BCA1-46E2C3661B7E.png","Variant Image")</f>
      </c>
      <c r="U1078" s="0">
        <f>HYPERLINK("https://ec-qa-storage.kldlms.com/Item/08DCFA78-E53E-49F7-8C52-76735F7AD52B/CAD8BA44-6A5A-4688-93B7-91B50D181C4B.jpg","Thumbnail Image")</f>
      </c>
      <c r="V1078" s="0">
        <f>HYPERLINK("https://ec-qa-storage.kldlms.com/ItemGallery/08DCFA78-E53E-49F7-8C52-76735F7AD52B/242E27E3-0CFE-4C8F-995A-0D4D4CB15C7E.jpg","Gallery Image ")</f>
      </c>
      <c r="W1078" s="0" t="s">
        <v>22</v>
      </c>
    </row>
    <row r="1079">
      <c r="P1079" s="0" t="s">
        <v>527</v>
      </c>
      <c r="Q1079" s="0" t="s">
        <v>4297</v>
      </c>
      <c r="R1079" s="0" t="s">
        <v>4295</v>
      </c>
      <c r="S1079" s="0" t="s">
        <v>32</v>
      </c>
      <c r="T1079" s="0">
        <f>HYPERLINK("https://ec-qa-storage.kldlms.com/ItemVariation/08DCFA78-E53E-49F7-8C52-76735F7AD52B/57E3A493-D43F-4DCC-90F3-09EDE9ADFD2D.jpg","Variant Image")</f>
      </c>
    </row>
    <row r="1080">
      <c r="A1080" s="0" t="s">
        <v>4299</v>
      </c>
      <c r="B1080" s="0" t="s">
        <v>4299</v>
      </c>
      <c r="C1080" s="0" t="s">
        <v>4300</v>
      </c>
      <c r="D1080" s="0" t="s">
        <v>27</v>
      </c>
      <c r="E1080" s="0" t="s">
        <v>3526</v>
      </c>
      <c r="F1080" s="0" t="s">
        <v>3137</v>
      </c>
      <c r="G1080" s="0" t="s">
        <v>4299</v>
      </c>
      <c r="H1080" s="0" t="s">
        <v>4299</v>
      </c>
      <c r="I1080" s="0" t="s">
        <v>4301</v>
      </c>
      <c r="J1080" s="0" t="s">
        <v>4301</v>
      </c>
      <c r="K1080" s="0" t="s">
        <v>3842</v>
      </c>
      <c r="L1080" s="0" t="s">
        <v>32</v>
      </c>
      <c r="M1080" s="0" t="s">
        <v>61</v>
      </c>
      <c r="N1080" s="0" t="s">
        <v>202</v>
      </c>
      <c r="O1080" s="0" t="s">
        <v>35</v>
      </c>
      <c r="P1080" s="0" t="s">
        <v>39</v>
      </c>
      <c r="Q1080" s="0" t="s">
        <v>3843</v>
      </c>
      <c r="R1080" s="0" t="s">
        <v>4300</v>
      </c>
      <c r="S1080" s="0" t="s">
        <v>202</v>
      </c>
      <c r="T1080" s="0">
        <f>HYPERLINK("https://storage.sslt.ae/ItemVariation/08DCFA78-E7E1-4C38-8BF0-A4D23DC972E0/51740251-5ACE-4473-955E-6DFA25C72DC1.png","Variant Image")</f>
      </c>
      <c r="U1080" s="0">
        <f>HYPERLINK("https://ec-qa-storage.kldlms.com/Item/08DCFA78-E7E1-4C38-8BF0-A4D23DC972E0/9B5C9B9D-9303-480D-803D-502A1953120F.png","Thumbnail Image")</f>
      </c>
      <c r="V1080" s="0">
        <f>HYPERLINK("https://ec-qa-storage.kldlms.com/ItemGallery/08DCFA78-E7E1-4C38-8BF0-A4D23DC972E0/E5077727-2032-4D00-A14A-C545E747CBE9.jpg","Gallery Image ")</f>
      </c>
      <c r="W1080" s="0" t="s">
        <v>22</v>
      </c>
    </row>
    <row r="1081">
      <c r="P1081" s="0" t="s">
        <v>4302</v>
      </c>
      <c r="Q1081" s="0" t="s">
        <v>3842</v>
      </c>
      <c r="R1081" s="0" t="s">
        <v>4300</v>
      </c>
      <c r="S1081" s="0" t="s">
        <v>32</v>
      </c>
      <c r="T1081" s="0">
        <f>HYPERLINK("https://ec-qa-storage.kldlms.com/ItemVariation/08DCFA78-E7E1-4C38-8BF0-A4D23DC972E0/DC75C346-7475-4A70-85B7-3C7C503AE1D3.png","Variant Image")</f>
      </c>
    </row>
    <row r="1082">
      <c r="A1082" s="0" t="s">
        <v>4303</v>
      </c>
      <c r="B1082" s="0" t="s">
        <v>4303</v>
      </c>
      <c r="C1082" s="0" t="s">
        <v>4304</v>
      </c>
      <c r="D1082" s="0" t="s">
        <v>27</v>
      </c>
      <c r="E1082" s="0" t="s">
        <v>3526</v>
      </c>
      <c r="F1082" s="0" t="s">
        <v>3137</v>
      </c>
      <c r="G1082" s="0" t="s">
        <v>4303</v>
      </c>
      <c r="H1082" s="0" t="s">
        <v>4303</v>
      </c>
      <c r="I1082" s="0" t="s">
        <v>4305</v>
      </c>
      <c r="J1082" s="0" t="s">
        <v>4305</v>
      </c>
      <c r="K1082" s="0" t="s">
        <v>4306</v>
      </c>
      <c r="L1082" s="0" t="s">
        <v>32</v>
      </c>
      <c r="M1082" s="0" t="s">
        <v>61</v>
      </c>
      <c r="N1082" s="0" t="s">
        <v>512</v>
      </c>
      <c r="O1082" s="0" t="s">
        <v>35</v>
      </c>
      <c r="P1082" s="0" t="s">
        <v>39</v>
      </c>
      <c r="Q1082" s="0" t="s">
        <v>4307</v>
      </c>
      <c r="R1082" s="0" t="s">
        <v>4304</v>
      </c>
      <c r="S1082" s="0" t="s">
        <v>512</v>
      </c>
      <c r="T1082" s="0">
        <f>HYPERLINK("https://storage.sslt.ae/ItemVariation/08DCFA78-E83D-4B18-8134-4C717D80EB96/18F99E73-F6B5-445E-8FF7-4043DA69FC1A.png","Variant Image")</f>
      </c>
      <c r="U1082" s="0">
        <f>HYPERLINK("https://ec-qa-storage.kldlms.com/Item/08DCFA78-E83D-4B18-8134-4C717D80EB96/1AB7FE16-4F67-461C-8AF3-EE496D806415.jpg","Thumbnail Image")</f>
      </c>
      <c r="V1082" s="0">
        <f>HYPERLINK("https://ec-qa-storage.kldlms.com/ItemGallery/08DCFA78-E83D-4B18-8134-4C717D80EB96/D828A11F-D984-4512-97A4-08637B29B1FF.jpg","Gallery Image ")</f>
      </c>
      <c r="W1082" s="0" t="s">
        <v>22</v>
      </c>
    </row>
    <row r="1083">
      <c r="P1083" s="0" t="s">
        <v>1016</v>
      </c>
      <c r="Q1083" s="0" t="s">
        <v>4306</v>
      </c>
      <c r="R1083" s="0" t="s">
        <v>4304</v>
      </c>
      <c r="S1083" s="0" t="s">
        <v>32</v>
      </c>
      <c r="T1083" s="0">
        <f>HYPERLINK("https://ec-qa-storage.kldlms.com/ItemVariation/08DCFA78-E83D-4B18-8134-4C717D80EB96/5022554F-8505-49DD-A9EC-909A32A56283.jpg","Variant Image")</f>
      </c>
    </row>
    <row r="1084">
      <c r="A1084" s="0" t="s">
        <v>4308</v>
      </c>
      <c r="B1084" s="0" t="s">
        <v>4308</v>
      </c>
      <c r="C1084" s="0" t="s">
        <v>4309</v>
      </c>
      <c r="D1084" s="0" t="s">
        <v>27</v>
      </c>
      <c r="E1084" s="0" t="s">
        <v>4219</v>
      </c>
      <c r="F1084" s="0" t="s">
        <v>58</v>
      </c>
      <c r="G1084" s="0" t="s">
        <v>4308</v>
      </c>
      <c r="H1084" s="0" t="s">
        <v>4308</v>
      </c>
      <c r="I1084" s="0" t="s">
        <v>615</v>
      </c>
      <c r="J1084" s="0" t="s">
        <v>615</v>
      </c>
      <c r="K1084" s="0" t="s">
        <v>1670</v>
      </c>
      <c r="L1084" s="0" t="s">
        <v>32</v>
      </c>
      <c r="M1084" s="0" t="s">
        <v>33</v>
      </c>
      <c r="N1084" s="0" t="s">
        <v>603</v>
      </c>
      <c r="O1084" s="0" t="s">
        <v>35</v>
      </c>
      <c r="P1084" s="0" t="s">
        <v>39</v>
      </c>
      <c r="Q1084" s="0" t="s">
        <v>3812</v>
      </c>
      <c r="R1084" s="0" t="s">
        <v>4309</v>
      </c>
      <c r="S1084" s="0" t="s">
        <v>603</v>
      </c>
      <c r="T1084" s="0">
        <f>HYPERLINK("https://storage.sslt.ae/ItemVariation/08DCFA78-E89A-4762-81B7-F12CE29B985A/830D71B9-1F23-4E6C-B5E7-F6D3FE50AC3E.png","Variant Image")</f>
      </c>
      <c r="U1084" s="0">
        <f>HYPERLINK("https://ec-qa-storage.kldlms.com/Item/08DCFA78-E89A-4762-81B7-F12CE29B985A/056B6E54-9CF8-4097-98AF-736F6B822185.png","Thumbnail Image")</f>
      </c>
      <c r="V1084" s="0">
        <f>HYPERLINK("https://ec-qa-storage.kldlms.com/ItemGallery/08DCFA78-E89A-4762-81B7-F12CE29B985A/E16DB596-C8EB-473E-B930-C4CE67EC09AA.png","Gallery Image ")</f>
      </c>
      <c r="W1084" s="0" t="s">
        <v>22</v>
      </c>
      <c r="X1084" s="0" t="s">
        <v>4310</v>
      </c>
    </row>
    <row r="1085">
      <c r="A1085" s="0" t="s">
        <v>4311</v>
      </c>
      <c r="B1085" s="0" t="s">
        <v>4311</v>
      </c>
      <c r="C1085" s="0" t="s">
        <v>4312</v>
      </c>
      <c r="D1085" s="0" t="s">
        <v>27</v>
      </c>
      <c r="E1085" s="0" t="s">
        <v>4238</v>
      </c>
      <c r="F1085" s="0" t="s">
        <v>58</v>
      </c>
      <c r="G1085" s="0" t="s">
        <v>4311</v>
      </c>
      <c r="H1085" s="0" t="s">
        <v>4311</v>
      </c>
      <c r="I1085" s="0" t="s">
        <v>615</v>
      </c>
      <c r="J1085" s="0" t="s">
        <v>615</v>
      </c>
      <c r="K1085" s="0" t="s">
        <v>4044</v>
      </c>
      <c r="L1085" s="0" t="s">
        <v>32</v>
      </c>
      <c r="M1085" s="0" t="s">
        <v>33</v>
      </c>
      <c r="N1085" s="0" t="s">
        <v>155</v>
      </c>
      <c r="O1085" s="0" t="s">
        <v>35</v>
      </c>
      <c r="P1085" s="0" t="s">
        <v>39</v>
      </c>
      <c r="Q1085" s="0" t="s">
        <v>4045</v>
      </c>
      <c r="R1085" s="0" t="s">
        <v>4312</v>
      </c>
      <c r="S1085" s="0" t="s">
        <v>155</v>
      </c>
      <c r="T1085" s="0">
        <f>HYPERLINK("https://storage.sslt.ae/ItemVariation/08DCFA78-E8F5-4581-8618-72B1D7023B67/074B883B-100C-44D9-88B7-CADC23809912.png","Variant Image")</f>
      </c>
      <c r="U1085" s="0">
        <f>HYPERLINK("https://ec-qa-storage.kldlms.com/Item/08DCFA78-E8F5-4581-8618-72B1D7023B67/ACBD72CF-8FC9-4090-B85B-EAB07A8F70AC.png","Thumbnail Image")</f>
      </c>
      <c r="V1085" s="0">
        <f>HYPERLINK("https://ec-qa-storage.kldlms.com/ItemGallery/08DCFA78-E8F5-4581-8618-72B1D7023B67/BA7DA6C7-CF78-4B06-98AA-0AC9F4D965E9.png","Gallery Image ")</f>
      </c>
      <c r="W1085" s="0" t="s">
        <v>22</v>
      </c>
      <c r="X1085" s="0" t="s">
        <v>4313</v>
      </c>
    </row>
    <row r="1086">
      <c r="A1086" s="0" t="s">
        <v>4314</v>
      </c>
      <c r="B1086" s="0" t="s">
        <v>4314</v>
      </c>
      <c r="C1086" s="0" t="s">
        <v>4315</v>
      </c>
      <c r="D1086" s="0" t="s">
        <v>27</v>
      </c>
      <c r="E1086" s="0" t="s">
        <v>3526</v>
      </c>
      <c r="F1086" s="0" t="s">
        <v>3137</v>
      </c>
      <c r="G1086" s="0" t="s">
        <v>4314</v>
      </c>
      <c r="H1086" s="0" t="s">
        <v>4314</v>
      </c>
      <c r="I1086" s="0" t="s">
        <v>4316</v>
      </c>
      <c r="J1086" s="0" t="s">
        <v>4316</v>
      </c>
      <c r="K1086" s="0" t="s">
        <v>2843</v>
      </c>
      <c r="L1086" s="0" t="s">
        <v>32</v>
      </c>
      <c r="M1086" s="0" t="s">
        <v>61</v>
      </c>
      <c r="N1086" s="0" t="s">
        <v>597</v>
      </c>
      <c r="O1086" s="0" t="s">
        <v>35</v>
      </c>
      <c r="P1086" s="0" t="s">
        <v>39</v>
      </c>
      <c r="Q1086" s="0" t="s">
        <v>4317</v>
      </c>
      <c r="R1086" s="0" t="s">
        <v>4315</v>
      </c>
      <c r="S1086" s="0" t="s">
        <v>597</v>
      </c>
      <c r="T1086" s="0">
        <f>HYPERLINK("https://storage.sslt.ae/ItemVariation/08DCFA78-E951-4CE5-8D17-8E7543D74DED/772922A3-63AE-49FD-86BB-E8627542A7C4.png","Variant Image")</f>
      </c>
      <c r="U1086" s="0">
        <f>HYPERLINK("https://ec-qa-storage.kldlms.com/Item/08DCFA78-E951-4CE5-8D17-8E7543D74DED/557F9F49-4C21-43A2-A9B9-69677D727673.jpg","Thumbnail Image")</f>
      </c>
      <c r="V1086" s="0">
        <f>HYPERLINK("https://ec-qa-storage.kldlms.com/ItemGallery/08DCFA78-E951-4CE5-8D17-8E7543D74DED/DDFFEAC3-D190-45FF-B8F9-6B0ED34C92DF.jpg","Gallery Image ")</f>
      </c>
      <c r="W1086" s="0" t="s">
        <v>22</v>
      </c>
    </row>
    <row r="1087">
      <c r="P1087" s="0" t="s">
        <v>1016</v>
      </c>
      <c r="Q1087" s="0" t="s">
        <v>2843</v>
      </c>
      <c r="R1087" s="0" t="s">
        <v>4315</v>
      </c>
      <c r="S1087" s="0" t="s">
        <v>32</v>
      </c>
      <c r="T1087" s="0">
        <f>HYPERLINK("https://ec-qa-storage.kldlms.com/ItemVariation/08DCFA78-E951-4CE5-8D17-8E7543D74DED/35082408-D830-4678-B158-3612DF21D467.jpg","Variant Image")</f>
      </c>
    </row>
    <row r="1088">
      <c r="P1088" s="0" t="s">
        <v>3401</v>
      </c>
      <c r="Q1088" s="0" t="s">
        <v>2843</v>
      </c>
      <c r="R1088" s="0" t="s">
        <v>4318</v>
      </c>
      <c r="S1088" s="0" t="s">
        <v>32</v>
      </c>
      <c r="T1088" s="0">
        <f>HYPERLINK("https://ec-qa-storage.kldlms.com/ItemVariation/08DCFA78-E951-4CE5-8D17-8E7543D74DED/DF9603B8-FB0A-447A-A2CD-3CEEADE43FA8.jpg","Variant Image")</f>
      </c>
    </row>
    <row r="1089">
      <c r="P1089" s="0" t="s">
        <v>121</v>
      </c>
      <c r="Q1089" s="0" t="s">
        <v>2843</v>
      </c>
      <c r="R1089" s="0" t="s">
        <v>4319</v>
      </c>
      <c r="S1089" s="0" t="s">
        <v>32</v>
      </c>
      <c r="T1089" s="0">
        <f>HYPERLINK("https://ec-qa-storage.kldlms.com/ItemVariation/08DCFA78-E951-4CE5-8D17-8E7543D74DED/37F79140-CEC9-41A1-894F-FEC398C2D8CA.jpg","Variant Image")</f>
      </c>
    </row>
    <row r="1090">
      <c r="A1090" s="0" t="s">
        <v>4320</v>
      </c>
      <c r="B1090" s="0" t="s">
        <v>4320</v>
      </c>
      <c r="C1090" s="0" t="s">
        <v>4318</v>
      </c>
      <c r="D1090" s="0" t="s">
        <v>27</v>
      </c>
      <c r="E1090" s="0" t="s">
        <v>4196</v>
      </c>
      <c r="F1090" s="0" t="s">
        <v>58</v>
      </c>
      <c r="G1090" s="0" t="s">
        <v>4320</v>
      </c>
      <c r="H1090" s="0" t="s">
        <v>4320</v>
      </c>
      <c r="I1090" s="0" t="s">
        <v>615</v>
      </c>
      <c r="J1090" s="0" t="s">
        <v>615</v>
      </c>
      <c r="K1090" s="0" t="s">
        <v>4321</v>
      </c>
      <c r="L1090" s="0" t="s">
        <v>32</v>
      </c>
      <c r="M1090" s="0" t="s">
        <v>33</v>
      </c>
      <c r="N1090" s="0" t="s">
        <v>720</v>
      </c>
      <c r="O1090" s="0" t="s">
        <v>35</v>
      </c>
      <c r="P1090" s="0" t="s">
        <v>39</v>
      </c>
      <c r="Q1090" s="0" t="s">
        <v>4322</v>
      </c>
      <c r="R1090" s="0" t="s">
        <v>4318</v>
      </c>
      <c r="S1090" s="0" t="s">
        <v>720</v>
      </c>
      <c r="T1090" s="0">
        <f>HYPERLINK("https://storage.sslt.ae/ItemVariation/08DCFA78-E9AD-4315-8420-AB6FEE8BC6DD/39424B90-0997-44D8-ADE7-95658B259AC2.png","Variant Image")</f>
      </c>
      <c r="U1090" s="0">
        <f>HYPERLINK("https://ec-qa-storage.kldlms.com/Item/08DCFA78-E9AD-4315-8420-AB6FEE8BC6DD/76930B2D-A1D7-4E84-A54F-6F6DA1EB8942.png","Thumbnail Image")</f>
      </c>
      <c r="V1090" s="0">
        <f>HYPERLINK("https://ec-qa-storage.kldlms.com/ItemGallery/08DCFA78-E9AD-4315-8420-AB6FEE8BC6DD/FAF5FBD6-04E3-47F0-A727-18DE1258F776.png","Gallery Image ")</f>
      </c>
      <c r="W1090" s="0" t="s">
        <v>22</v>
      </c>
      <c r="X1090" s="0" t="s">
        <v>4323</v>
      </c>
    </row>
    <row r="1091">
      <c r="A1091" s="0" t="s">
        <v>4324</v>
      </c>
      <c r="B1091" s="0" t="s">
        <v>4324</v>
      </c>
      <c r="C1091" s="0" t="s">
        <v>4319</v>
      </c>
      <c r="D1091" s="0" t="s">
        <v>27</v>
      </c>
      <c r="E1091" s="0" t="s">
        <v>4196</v>
      </c>
      <c r="F1091" s="0" t="s">
        <v>58</v>
      </c>
      <c r="G1091" s="0" t="s">
        <v>4324</v>
      </c>
      <c r="H1091" s="0" t="s">
        <v>4324</v>
      </c>
      <c r="I1091" s="0" t="s">
        <v>615</v>
      </c>
      <c r="J1091" s="0" t="s">
        <v>615</v>
      </c>
      <c r="K1091" s="0" t="s">
        <v>4325</v>
      </c>
      <c r="L1091" s="0" t="s">
        <v>32</v>
      </c>
      <c r="M1091" s="0" t="s">
        <v>33</v>
      </c>
      <c r="N1091" s="0" t="s">
        <v>787</v>
      </c>
      <c r="O1091" s="0" t="s">
        <v>35</v>
      </c>
      <c r="P1091" s="0" t="s">
        <v>39</v>
      </c>
      <c r="Q1091" s="0" t="s">
        <v>4326</v>
      </c>
      <c r="R1091" s="0" t="s">
        <v>4319</v>
      </c>
      <c r="S1091" s="0" t="s">
        <v>787</v>
      </c>
      <c r="T1091" s="0">
        <f>HYPERLINK("https://storage.sslt.ae/ItemVariation/08DCFA78-EA09-437B-8989-96D418B6EBDC/C691FC7F-E0CF-4508-962F-3CD3FF46B602.png","Variant Image")</f>
      </c>
      <c r="U1091" s="0">
        <f>HYPERLINK("https://ec-qa-storage.kldlms.com/Item/08DCFA78-EA09-437B-8989-96D418B6EBDC/07A492FC-514D-4E96-8CDC-3A16364CE6F3.png","Thumbnail Image")</f>
      </c>
      <c r="V1091" s="0">
        <f>HYPERLINK("https://ec-qa-storage.kldlms.com/ItemGallery/08DCFA78-EA09-437B-8989-96D418B6EBDC/3362CE14-6CF8-4E3D-80CF-64C1AF680E25.png","Gallery Image ")</f>
      </c>
      <c r="W1091" s="0" t="s">
        <v>22</v>
      </c>
      <c r="X1091" s="0" t="s">
        <v>4327</v>
      </c>
    </row>
    <row r="1092">
      <c r="A1092" s="0" t="s">
        <v>4328</v>
      </c>
      <c r="B1092" s="0" t="s">
        <v>4328</v>
      </c>
      <c r="C1092" s="0" t="s">
        <v>4329</v>
      </c>
      <c r="D1092" s="0" t="s">
        <v>27</v>
      </c>
      <c r="E1092" s="0" t="s">
        <v>3526</v>
      </c>
      <c r="F1092" s="0" t="s">
        <v>3137</v>
      </c>
      <c r="G1092" s="0" t="s">
        <v>4328</v>
      </c>
      <c r="H1092" s="0" t="s">
        <v>4328</v>
      </c>
      <c r="I1092" s="0" t="s">
        <v>4330</v>
      </c>
      <c r="J1092" s="0" t="s">
        <v>4330</v>
      </c>
      <c r="K1092" s="0" t="s">
        <v>1118</v>
      </c>
      <c r="L1092" s="0" t="s">
        <v>32</v>
      </c>
      <c r="M1092" s="0" t="s">
        <v>61</v>
      </c>
      <c r="N1092" s="0" t="s">
        <v>1283</v>
      </c>
      <c r="O1092" s="0" t="s">
        <v>35</v>
      </c>
      <c r="P1092" s="0" t="s">
        <v>39</v>
      </c>
      <c r="Q1092" s="0" t="s">
        <v>2801</v>
      </c>
      <c r="R1092" s="0" t="s">
        <v>4329</v>
      </c>
      <c r="S1092" s="0" t="s">
        <v>1283</v>
      </c>
      <c r="T1092" s="0">
        <f>HYPERLINK("https://storage.sslt.ae/ItemVariation/08DCFA78-EA65-4A99-8FFB-17A96F61C276/C2553594-D186-46A7-93E6-F53338A5437D.png","Variant Image")</f>
      </c>
      <c r="U1092" s="0">
        <f>HYPERLINK("https://ec-qa-storage.kldlms.com/Item/08DCFA78-EA65-4A99-8FFB-17A96F61C276/6529179C-5DB4-4607-A152-664FFA081B71.jpg","Thumbnail Image")</f>
      </c>
      <c r="V1092" s="0">
        <f>HYPERLINK("https://ec-qa-storage.kldlms.com/ItemGallery/08DCFA78-EA65-4A99-8FFB-17A96F61C276/34A9D8ED-F061-4EDC-AB6B-B0AAED9BCB62.png","Gallery Image ")</f>
      </c>
      <c r="W1092" s="0" t="s">
        <v>22</v>
      </c>
    </row>
    <row r="1093">
      <c r="P1093" s="0" t="s">
        <v>1016</v>
      </c>
      <c r="Q1093" s="0" t="s">
        <v>1118</v>
      </c>
      <c r="R1093" s="0" t="s">
        <v>4329</v>
      </c>
      <c r="S1093" s="0" t="s">
        <v>32</v>
      </c>
      <c r="T1093" s="0">
        <f>HYPERLINK("https://ec-qa-storage.kldlms.com/ItemVariation/08DCFA78-EA65-4A99-8FFB-17A96F61C276/71A6A088-5281-4FA7-90FA-F74FAA975CFA.jpg","Variant Image")</f>
      </c>
    </row>
    <row r="1094">
      <c r="A1094" s="0" t="s">
        <v>4331</v>
      </c>
      <c r="B1094" s="0" t="s">
        <v>4331</v>
      </c>
      <c r="C1094" s="0" t="s">
        <v>4332</v>
      </c>
      <c r="D1094" s="0" t="s">
        <v>27</v>
      </c>
      <c r="E1094" s="0" t="s">
        <v>4196</v>
      </c>
      <c r="F1094" s="0" t="s">
        <v>58</v>
      </c>
      <c r="G1094" s="0" t="s">
        <v>4331</v>
      </c>
      <c r="H1094" s="0" t="s">
        <v>4331</v>
      </c>
      <c r="I1094" s="0" t="s">
        <v>615</v>
      </c>
      <c r="J1094" s="0" t="s">
        <v>615</v>
      </c>
      <c r="K1094" s="0" t="s">
        <v>301</v>
      </c>
      <c r="L1094" s="0" t="s">
        <v>32</v>
      </c>
      <c r="M1094" s="0" t="s">
        <v>33</v>
      </c>
      <c r="N1094" s="0" t="s">
        <v>2815</v>
      </c>
      <c r="O1094" s="0" t="s">
        <v>35</v>
      </c>
      <c r="P1094" s="0" t="s">
        <v>39</v>
      </c>
      <c r="Q1094" s="0" t="s">
        <v>4333</v>
      </c>
      <c r="R1094" s="0" t="s">
        <v>4332</v>
      </c>
      <c r="S1094" s="0" t="s">
        <v>2815</v>
      </c>
      <c r="T1094" s="0">
        <f>HYPERLINK("https://storage.sslt.ae/ItemVariation/08DCFA78-EAC1-41C8-84B1-8F7FE7D5CF94/E1FDFF33-FC5A-40D1-90DC-E247A70D67C6.png","Variant Image")</f>
      </c>
      <c r="U1094" s="0">
        <f>HYPERLINK("https://ec-qa-storage.kldlms.com/Item/08DCFA78-EAC1-41C8-84B1-8F7FE7D5CF94/03E12FC6-6640-441C-BDD5-09D96EF8F6A3.png","Thumbnail Image")</f>
      </c>
      <c r="V1094" s="0">
        <f>HYPERLINK("https://ec-qa-storage.kldlms.com/ItemGallery/08DCFA78-EAC1-41C8-84B1-8F7FE7D5CF94/85135534-44B7-4B94-8DDE-2AD1290F2744.png","Gallery Image ")</f>
      </c>
      <c r="W1094" s="0" t="s">
        <v>22</v>
      </c>
      <c r="X1094" s="0" t="s">
        <v>4334</v>
      </c>
    </row>
    <row r="1095">
      <c r="A1095" s="0" t="s">
        <v>4331</v>
      </c>
      <c r="B1095" s="0" t="s">
        <v>4331</v>
      </c>
      <c r="C1095" s="0" t="s">
        <v>4335</v>
      </c>
      <c r="D1095" s="0" t="s">
        <v>27</v>
      </c>
      <c r="E1095" s="0" t="s">
        <v>4196</v>
      </c>
      <c r="F1095" s="0" t="s">
        <v>58</v>
      </c>
      <c r="G1095" s="0" t="s">
        <v>4331</v>
      </c>
      <c r="H1095" s="0" t="s">
        <v>4331</v>
      </c>
      <c r="I1095" s="0" t="s">
        <v>615</v>
      </c>
      <c r="J1095" s="0" t="s">
        <v>615</v>
      </c>
      <c r="K1095" s="0" t="s">
        <v>4336</v>
      </c>
      <c r="L1095" s="0" t="s">
        <v>32</v>
      </c>
      <c r="M1095" s="0" t="s">
        <v>33</v>
      </c>
      <c r="N1095" s="0" t="s">
        <v>142</v>
      </c>
      <c r="O1095" s="0" t="s">
        <v>35</v>
      </c>
      <c r="P1095" s="0" t="s">
        <v>39</v>
      </c>
      <c r="Q1095" s="0" t="s">
        <v>4337</v>
      </c>
      <c r="R1095" s="0" t="s">
        <v>4335</v>
      </c>
      <c r="S1095" s="0" t="s">
        <v>142</v>
      </c>
      <c r="T1095" s="0">
        <f>HYPERLINK("https://storage.sslt.ae/ItemVariation/08DCFA78-EB1C-4DD7-87D3-2A170EA1E536/EF55FD16-3BB4-4D14-8BEE-6A9F9201E043.png","Variant Image")</f>
      </c>
      <c r="U1095" s="0">
        <f>HYPERLINK("https://ec-qa-storage.kldlms.com/Item/08DCFA78-EB1C-4DD7-87D3-2A170EA1E536/CE6731F5-9521-45F0-B6D0-5701B321E0A3.png","Thumbnail Image")</f>
      </c>
      <c r="V1095" s="0">
        <f>HYPERLINK("https://ec-qa-storage.kldlms.com/ItemGallery/08DCFA78-EB1C-4DD7-87D3-2A170EA1E536/8E0F27B5-166E-4EAB-A4B8-1AE2C72AE303.png","Gallery Image ")</f>
      </c>
      <c r="W1095" s="0" t="s">
        <v>22</v>
      </c>
      <c r="X1095" s="0" t="s">
        <v>4338</v>
      </c>
    </row>
    <row r="1096">
      <c r="A1096" s="0" t="s">
        <v>1424</v>
      </c>
      <c r="B1096" s="0" t="s">
        <v>1424</v>
      </c>
      <c r="C1096" s="0" t="s">
        <v>4339</v>
      </c>
      <c r="D1096" s="0" t="s">
        <v>27</v>
      </c>
      <c r="E1096" s="0" t="s">
        <v>4238</v>
      </c>
      <c r="F1096" s="0" t="s">
        <v>58</v>
      </c>
      <c r="G1096" s="0" t="s">
        <v>1424</v>
      </c>
      <c r="H1096" s="0" t="s">
        <v>1424</v>
      </c>
      <c r="I1096" s="0" t="s">
        <v>615</v>
      </c>
      <c r="J1096" s="0" t="s">
        <v>615</v>
      </c>
      <c r="K1096" s="0" t="s">
        <v>4340</v>
      </c>
      <c r="L1096" s="0" t="s">
        <v>32</v>
      </c>
      <c r="M1096" s="0" t="s">
        <v>33</v>
      </c>
      <c r="N1096" s="0" t="s">
        <v>142</v>
      </c>
      <c r="O1096" s="0" t="s">
        <v>35</v>
      </c>
      <c r="P1096" s="0" t="s">
        <v>39</v>
      </c>
      <c r="Q1096" s="0" t="s">
        <v>4341</v>
      </c>
      <c r="R1096" s="0" t="s">
        <v>4339</v>
      </c>
      <c r="S1096" s="0" t="s">
        <v>142</v>
      </c>
      <c r="T1096" s="0">
        <f>HYPERLINK("https://storage.sslt.ae/ItemVariation/08DCFA78-EB79-49A5-8976-7F291F361BE6/14D3BB92-FA7B-43AA-BC7A-CAA83494B6FC.png","Variant Image")</f>
      </c>
      <c r="U1096" s="0">
        <f>HYPERLINK("https://ec-qa-storage.kldlms.com/Item/08DCFA78-EB79-49A5-8976-7F291F361BE6/66DCD4F9-C6FA-4564-B9CE-61C948DC984E.png","Thumbnail Image")</f>
      </c>
      <c r="V1096" s="0">
        <f>HYPERLINK("https://ec-qa-storage.kldlms.com/ItemGallery/08DCFA78-EB79-49A5-8976-7F291F361BE6/EC90BC36-4DF0-4064-94F0-454936BBC191.png","Gallery Image ")</f>
      </c>
      <c r="W1096" s="0" t="s">
        <v>22</v>
      </c>
      <c r="X1096" s="0" t="s">
        <v>4342</v>
      </c>
    </row>
    <row r="1097">
      <c r="A1097" s="0" t="s">
        <v>4343</v>
      </c>
      <c r="B1097" s="0" t="s">
        <v>4343</v>
      </c>
      <c r="C1097" s="0" t="s">
        <v>4344</v>
      </c>
      <c r="D1097" s="0" t="s">
        <v>27</v>
      </c>
      <c r="E1097" s="0" t="s">
        <v>4219</v>
      </c>
      <c r="F1097" s="0" t="s">
        <v>58</v>
      </c>
      <c r="G1097" s="0" t="s">
        <v>4343</v>
      </c>
      <c r="H1097" s="0" t="s">
        <v>4343</v>
      </c>
      <c r="I1097" s="0" t="s">
        <v>615</v>
      </c>
      <c r="J1097" s="0" t="s">
        <v>615</v>
      </c>
      <c r="K1097" s="0" t="s">
        <v>2286</v>
      </c>
      <c r="L1097" s="0" t="s">
        <v>32</v>
      </c>
      <c r="M1097" s="0" t="s">
        <v>33</v>
      </c>
      <c r="N1097" s="0" t="s">
        <v>140</v>
      </c>
      <c r="O1097" s="0" t="s">
        <v>35</v>
      </c>
      <c r="P1097" s="0" t="s">
        <v>39</v>
      </c>
      <c r="Q1097" s="0" t="s">
        <v>2287</v>
      </c>
      <c r="R1097" s="0" t="s">
        <v>4344</v>
      </c>
      <c r="S1097" s="0" t="s">
        <v>140</v>
      </c>
      <c r="T1097" s="0">
        <f>HYPERLINK("https://storage.sslt.ae/ItemVariation/08DCFA78-EBD4-4DCB-82DD-686924B56094/A226F3F8-75E8-47C2-9F4C-A6025BF6C15E.png","Variant Image")</f>
      </c>
      <c r="U1097" s="0">
        <f>HYPERLINK("https://ec-qa-storage.kldlms.com/Item/08DCFA78-EBD4-4DCB-82DD-686924B56094/7E708B5D-1EB7-4C1A-9D62-A698842394E9.png","Thumbnail Image")</f>
      </c>
      <c r="V1097" s="0">
        <f>HYPERLINK("https://ec-qa-storage.kldlms.com/ItemGallery/08DCFA78-EBD4-4DCB-82DD-686924B56094/34064BAA-F3B7-4C93-B770-31B4E49E1E1F.png","Gallery Image ")</f>
      </c>
      <c r="W1097" s="0" t="s">
        <v>22</v>
      </c>
      <c r="X1097" s="0" t="s">
        <v>4345</v>
      </c>
    </row>
    <row r="1098">
      <c r="A1098" s="0" t="s">
        <v>4346</v>
      </c>
      <c r="B1098" s="0" t="s">
        <v>4346</v>
      </c>
      <c r="C1098" s="0" t="s">
        <v>4347</v>
      </c>
      <c r="D1098" s="0" t="s">
        <v>27</v>
      </c>
      <c r="E1098" s="0" t="s">
        <v>4348</v>
      </c>
      <c r="F1098" s="0" t="s">
        <v>2631</v>
      </c>
      <c r="G1098" s="0" t="s">
        <v>4346</v>
      </c>
      <c r="H1098" s="0" t="s">
        <v>4346</v>
      </c>
      <c r="I1098" s="0" t="s">
        <v>615</v>
      </c>
      <c r="J1098" s="0" t="s">
        <v>615</v>
      </c>
      <c r="K1098" s="0" t="s">
        <v>4349</v>
      </c>
      <c r="L1098" s="0" t="s">
        <v>32</v>
      </c>
      <c r="M1098" s="0" t="s">
        <v>33</v>
      </c>
      <c r="N1098" s="0" t="s">
        <v>110</v>
      </c>
      <c r="O1098" s="0" t="s">
        <v>35</v>
      </c>
      <c r="P1098" s="0" t="s">
        <v>39</v>
      </c>
      <c r="Q1098" s="0" t="s">
        <v>4350</v>
      </c>
      <c r="R1098" s="0" t="s">
        <v>4347</v>
      </c>
      <c r="S1098" s="0" t="s">
        <v>110</v>
      </c>
      <c r="T1098" s="0">
        <f>HYPERLINK("https://storage.sslt.ae/ItemVariation/08DCFA78-F1CC-4160-886B-0757A506D4C8/69F91272-2D07-4E5C-8FFF-50576F944EF6.png","Variant Image")</f>
      </c>
      <c r="U1098" s="0">
        <f>HYPERLINK("https://ec-qa-storage.kldlms.com/Item/08DCFA78-F1CC-4160-886B-0757A506D4C8/6C43590E-4D88-4D54-8FDB-1A2274C3B360.png","Thumbnail Image")</f>
      </c>
      <c r="V1098" s="0">
        <f>HYPERLINK("https://ec-qa-storage.kldlms.com/ItemGallery/08DCFA78-F1CC-4160-886B-0757A506D4C8/B2933FE0-158A-48D0-8E54-6C984C49AB24.png","Gallery Image ")</f>
      </c>
      <c r="W1098" s="0" t="s">
        <v>22</v>
      </c>
      <c r="X1098" s="0" t="s">
        <v>4351</v>
      </c>
    </row>
    <row r="1099">
      <c r="A1099" s="0" t="s">
        <v>4352</v>
      </c>
      <c r="B1099" s="0" t="s">
        <v>4352</v>
      </c>
      <c r="C1099" s="0" t="s">
        <v>4353</v>
      </c>
      <c r="D1099" s="0" t="s">
        <v>27</v>
      </c>
      <c r="E1099" s="0" t="s">
        <v>4348</v>
      </c>
      <c r="F1099" s="0" t="s">
        <v>2631</v>
      </c>
      <c r="G1099" s="0" t="s">
        <v>4352</v>
      </c>
      <c r="H1099" s="0" t="s">
        <v>4352</v>
      </c>
      <c r="I1099" s="0" t="s">
        <v>615</v>
      </c>
      <c r="J1099" s="0" t="s">
        <v>615</v>
      </c>
      <c r="K1099" s="0" t="s">
        <v>4354</v>
      </c>
      <c r="L1099" s="0" t="s">
        <v>32</v>
      </c>
      <c r="M1099" s="0" t="s">
        <v>33</v>
      </c>
      <c r="N1099" s="0" t="s">
        <v>110</v>
      </c>
      <c r="O1099" s="0" t="s">
        <v>35</v>
      </c>
      <c r="P1099" s="0" t="s">
        <v>39</v>
      </c>
      <c r="Q1099" s="0" t="s">
        <v>4355</v>
      </c>
      <c r="R1099" s="0" t="s">
        <v>4353</v>
      </c>
      <c r="S1099" s="0" t="s">
        <v>110</v>
      </c>
      <c r="T1099" s="0">
        <f>HYPERLINK("https://storage.sslt.ae/ItemVariation/08DCFA78-F270-41A4-8CE3-B7B74C2F6082/264AC803-92FC-4910-8FB9-5494B66B8478.png","Variant Image")</f>
      </c>
      <c r="U1099" s="0">
        <f>HYPERLINK("https://ec-qa-storage.kldlms.com/Item/08DCFA78-F270-41A4-8CE3-B7B74C2F6082/6775FF5B-84F2-4ADC-8F12-5E9B17288431.png","Thumbnail Image")</f>
      </c>
      <c r="V1099" s="0">
        <f>HYPERLINK("https://ec-qa-storage.kldlms.com/ItemGallery/08DCFA78-F270-41A4-8CE3-B7B74C2F6082/63EF2F60-486A-4429-9CD4-803C99D06691.png","Gallery Image ")</f>
      </c>
      <c r="W1099" s="0" t="s">
        <v>22</v>
      </c>
      <c r="X1099" s="0" t="s">
        <v>4356</v>
      </c>
    </row>
    <row r="1100">
      <c r="A1100" s="0" t="s">
        <v>4357</v>
      </c>
      <c r="B1100" s="0" t="s">
        <v>4357</v>
      </c>
      <c r="C1100" s="0" t="s">
        <v>4358</v>
      </c>
      <c r="D1100" s="0" t="s">
        <v>27</v>
      </c>
      <c r="E1100" s="0" t="s">
        <v>4348</v>
      </c>
      <c r="F1100" s="0" t="s">
        <v>2631</v>
      </c>
      <c r="G1100" s="0" t="s">
        <v>4357</v>
      </c>
      <c r="H1100" s="0" t="s">
        <v>4357</v>
      </c>
      <c r="I1100" s="0" t="s">
        <v>615</v>
      </c>
      <c r="J1100" s="0" t="s">
        <v>615</v>
      </c>
      <c r="K1100" s="0" t="s">
        <v>4359</v>
      </c>
      <c r="L1100" s="0" t="s">
        <v>32</v>
      </c>
      <c r="M1100" s="0" t="s">
        <v>33</v>
      </c>
      <c r="N1100" s="0" t="s">
        <v>32</v>
      </c>
      <c r="O1100" s="0" t="s">
        <v>35</v>
      </c>
      <c r="P1100" s="0" t="s">
        <v>39</v>
      </c>
      <c r="Q1100" s="0" t="s">
        <v>4360</v>
      </c>
      <c r="R1100" s="0" t="s">
        <v>4358</v>
      </c>
      <c r="S1100" s="0" t="s">
        <v>92</v>
      </c>
      <c r="T1100" s="0">
        <f>HYPERLINK("https://storage.sslt.ae/ItemVariation/08DCFA78-F2D8-44D1-8DD5-7CD6951CD778/2E9820AB-36A6-4A94-B46E-827669E3089D.png","Variant Image")</f>
      </c>
      <c r="U1100" s="0">
        <f>HYPERLINK("https://ec-qa-storage.kldlms.com/Item/08DCFA78-F2D8-44D1-8DD5-7CD6951CD778/0BAC16C6-0528-4DEC-995A-84166F67B0A6.png","Thumbnail Image")</f>
      </c>
      <c r="V1100" s="0">
        <f>HYPERLINK("https://ec-qa-storage.kldlms.com/ItemGallery/08DCFA78-F2D8-44D1-8DD5-7CD6951CD778/0E07B00B-EF55-4B32-AEC4-87FD1EC30CE4.png","Gallery Image ")</f>
      </c>
      <c r="W1100" s="0" t="s">
        <v>22</v>
      </c>
      <c r="X1100" s="0" t="s">
        <v>4361</v>
      </c>
    </row>
    <row r="1101">
      <c r="A1101" s="0" t="s">
        <v>4362</v>
      </c>
      <c r="B1101" s="0" t="s">
        <v>4362</v>
      </c>
      <c r="C1101" s="0" t="s">
        <v>4363</v>
      </c>
      <c r="D1101" s="0" t="s">
        <v>27</v>
      </c>
      <c r="E1101" s="0" t="s">
        <v>4364</v>
      </c>
      <c r="F1101" s="0" t="s">
        <v>3120</v>
      </c>
      <c r="G1101" s="0" t="s">
        <v>4362</v>
      </c>
      <c r="H1101" s="0" t="s">
        <v>4362</v>
      </c>
      <c r="I1101" s="0" t="s">
        <v>615</v>
      </c>
      <c r="J1101" s="0" t="s">
        <v>615</v>
      </c>
      <c r="K1101" s="0" t="s">
        <v>4365</v>
      </c>
      <c r="L1101" s="0" t="s">
        <v>32</v>
      </c>
      <c r="M1101" s="0" t="s">
        <v>33</v>
      </c>
      <c r="N1101" s="0" t="s">
        <v>349</v>
      </c>
      <c r="O1101" s="0" t="s">
        <v>35</v>
      </c>
      <c r="P1101" s="0" t="s">
        <v>39</v>
      </c>
      <c r="Q1101" s="0" t="s">
        <v>4366</v>
      </c>
      <c r="R1101" s="0" t="s">
        <v>4363</v>
      </c>
      <c r="S1101" s="0" t="s">
        <v>349</v>
      </c>
      <c r="T1101" s="0">
        <f>HYPERLINK("https://storage.sslt.ae/ItemVariation/08DCFA78-F738-4490-82D8-05574772133C/2D8FE66B-FDED-4F73-8852-4EF1E8402548.png","Variant Image")</f>
      </c>
      <c r="U1101" s="0">
        <f>HYPERLINK("https://ec-qa-storage.kldlms.com/Item/08DCFA78-F738-4490-82D8-05574772133C/BBC02D63-2C51-4F68-934E-80C2C5084577.png","Thumbnail Image")</f>
      </c>
      <c r="V1101" s="0">
        <f>HYPERLINK("https://ec-qa-storage.kldlms.com/ItemGallery/08DCFA78-F738-4490-82D8-05574772133C/E25B8B9B-EE1D-45F0-8B5A-1CDFBABE4AD0.png","Gallery Image ")</f>
      </c>
      <c r="W1101" s="0" t="s">
        <v>22</v>
      </c>
      <c r="X1101" s="0" t="s">
        <v>4367</v>
      </c>
    </row>
    <row r="1102">
      <c r="A1102" s="0" t="s">
        <v>4368</v>
      </c>
      <c r="B1102" s="0" t="s">
        <v>4368</v>
      </c>
      <c r="C1102" s="0" t="s">
        <v>4369</v>
      </c>
      <c r="D1102" s="0" t="s">
        <v>27</v>
      </c>
      <c r="E1102" s="0" t="s">
        <v>4364</v>
      </c>
      <c r="F1102" s="0" t="s">
        <v>3120</v>
      </c>
      <c r="G1102" s="0" t="s">
        <v>4368</v>
      </c>
      <c r="H1102" s="0" t="s">
        <v>4368</v>
      </c>
      <c r="I1102" s="0" t="s">
        <v>615</v>
      </c>
      <c r="J1102" s="0" t="s">
        <v>615</v>
      </c>
      <c r="K1102" s="0" t="s">
        <v>4370</v>
      </c>
      <c r="L1102" s="0" t="s">
        <v>32</v>
      </c>
      <c r="M1102" s="0" t="s">
        <v>33</v>
      </c>
      <c r="N1102" s="0" t="s">
        <v>110</v>
      </c>
      <c r="O1102" s="0" t="s">
        <v>35</v>
      </c>
      <c r="P1102" s="0" t="s">
        <v>39</v>
      </c>
      <c r="Q1102" s="0" t="s">
        <v>4371</v>
      </c>
      <c r="R1102" s="0" t="s">
        <v>4369</v>
      </c>
      <c r="S1102" s="0" t="s">
        <v>110</v>
      </c>
      <c r="T1102" s="0">
        <f>HYPERLINK("https://storage.sslt.ae/ItemVariation/08DCFA78-F794-4321-8FEF-2F80C1BEF445/229E383D-68F4-452C-8441-E42CBCBBC80C.png","Variant Image")</f>
      </c>
      <c r="U1102" s="0">
        <f>HYPERLINK("https://ec-qa-storage.kldlms.com/Item/08DCFA78-F794-4321-8FEF-2F80C1BEF445/F9FA8355-F6CE-49C6-AB64-95DDA809A0E3.png","Thumbnail Image")</f>
      </c>
      <c r="V1102" s="0">
        <f>HYPERLINK("https://ec-qa-storage.kldlms.com/ItemGallery/08DCFA78-F794-4321-8FEF-2F80C1BEF445/9F3EB169-7A2B-4867-AF6F-5593FA6069AC.png","Gallery Image ")</f>
      </c>
      <c r="W1102" s="0" t="s">
        <v>22</v>
      </c>
      <c r="X1102" s="0" t="s">
        <v>4372</v>
      </c>
    </row>
    <row r="1103">
      <c r="A1103" s="0" t="s">
        <v>4373</v>
      </c>
      <c r="B1103" s="0" t="s">
        <v>4373</v>
      </c>
      <c r="C1103" s="0" t="s">
        <v>4374</v>
      </c>
      <c r="D1103" s="0" t="s">
        <v>27</v>
      </c>
      <c r="E1103" s="0" t="s">
        <v>4364</v>
      </c>
      <c r="F1103" s="0" t="s">
        <v>3120</v>
      </c>
      <c r="G1103" s="0" t="s">
        <v>4373</v>
      </c>
      <c r="H1103" s="0" t="s">
        <v>4373</v>
      </c>
      <c r="I1103" s="0" t="s">
        <v>615</v>
      </c>
      <c r="J1103" s="0" t="s">
        <v>615</v>
      </c>
      <c r="K1103" s="0" t="s">
        <v>4375</v>
      </c>
      <c r="L1103" s="0" t="s">
        <v>32</v>
      </c>
      <c r="M1103" s="0" t="s">
        <v>33</v>
      </c>
      <c r="N1103" s="0" t="s">
        <v>164</v>
      </c>
      <c r="O1103" s="0" t="s">
        <v>35</v>
      </c>
      <c r="P1103" s="0" t="s">
        <v>39</v>
      </c>
      <c r="Q1103" s="0" t="s">
        <v>4376</v>
      </c>
      <c r="R1103" s="0" t="s">
        <v>4374</v>
      </c>
      <c r="S1103" s="0" t="s">
        <v>164</v>
      </c>
      <c r="T1103" s="0">
        <f>HYPERLINK("https://storage.sslt.ae/ItemVariation/08DCFA78-F7F1-4807-8467-5DF641E51BFC/5EAE6991-68D7-400F-B812-3EA75A31BF33.png","Variant Image")</f>
      </c>
      <c r="U1103" s="0">
        <f>HYPERLINK("https://ec-qa-storage.kldlms.com/Item/08DCFA78-F7F1-4807-8467-5DF641E51BFC/03F3E6A7-D46B-4F15-9A8B-5F49C819D6D5.png","Thumbnail Image")</f>
      </c>
      <c r="V1103" s="0">
        <f>HYPERLINK("https://ec-qa-storage.kldlms.com/ItemGallery/08DCFA78-F7F1-4807-8467-5DF641E51BFC/B232EBC5-1836-4830-9E56-5C942BB15D03.png","Gallery Image ")</f>
      </c>
      <c r="W1103" s="0" t="s">
        <v>22</v>
      </c>
      <c r="X1103" s="0" t="s">
        <v>4377</v>
      </c>
    </row>
    <row r="1104">
      <c r="A1104" s="0" t="s">
        <v>4378</v>
      </c>
      <c r="B1104" s="0" t="s">
        <v>4378</v>
      </c>
      <c r="C1104" s="0" t="s">
        <v>4379</v>
      </c>
      <c r="D1104" s="0" t="s">
        <v>27</v>
      </c>
      <c r="E1104" s="0" t="s">
        <v>4364</v>
      </c>
      <c r="F1104" s="0" t="s">
        <v>3120</v>
      </c>
      <c r="G1104" s="0" t="s">
        <v>4378</v>
      </c>
      <c r="H1104" s="0" t="s">
        <v>4378</v>
      </c>
      <c r="I1104" s="0" t="s">
        <v>615</v>
      </c>
      <c r="J1104" s="0" t="s">
        <v>615</v>
      </c>
      <c r="K1104" s="0" t="s">
        <v>538</v>
      </c>
      <c r="L1104" s="0" t="s">
        <v>32</v>
      </c>
      <c r="M1104" s="0" t="s">
        <v>33</v>
      </c>
      <c r="N1104" s="0" t="s">
        <v>280</v>
      </c>
      <c r="O1104" s="0" t="s">
        <v>35</v>
      </c>
      <c r="P1104" s="0" t="s">
        <v>39</v>
      </c>
      <c r="Q1104" s="0" t="s">
        <v>4380</v>
      </c>
      <c r="R1104" s="0" t="s">
        <v>4379</v>
      </c>
      <c r="S1104" s="0" t="s">
        <v>280</v>
      </c>
      <c r="T1104" s="0">
        <f>HYPERLINK("https://storage.sslt.ae/ItemVariation/08DCFA78-F84E-499E-8553-19FE80AD9209/C6246DB8-54A3-4887-A930-603D94B3AC3F.png","Variant Image")</f>
      </c>
      <c r="U1104" s="0">
        <f>HYPERLINK("https://ec-qa-storage.kldlms.com/Item/08DCFA78-F84E-499E-8553-19FE80AD9209/7141912A-15E3-49DB-8F75-8A6E34236A7F.png","Thumbnail Image")</f>
      </c>
      <c r="V1104" s="0">
        <f>HYPERLINK("https://ec-qa-storage.kldlms.com/ItemGallery/08DCFA78-F84E-499E-8553-19FE80AD9209/7C922C67-46C7-456D-A726-15FE9C2174C9.png","Gallery Image ")</f>
      </c>
      <c r="W1104" s="0" t="s">
        <v>22</v>
      </c>
      <c r="X1104" s="0" t="s">
        <v>4381</v>
      </c>
    </row>
    <row r="1105">
      <c r="A1105" s="0" t="s">
        <v>4382</v>
      </c>
      <c r="B1105" s="0" t="s">
        <v>4382</v>
      </c>
      <c r="C1105" s="0" t="s">
        <v>4383</v>
      </c>
      <c r="D1105" s="0" t="s">
        <v>27</v>
      </c>
      <c r="E1105" s="0" t="s">
        <v>4364</v>
      </c>
      <c r="F1105" s="0" t="s">
        <v>3120</v>
      </c>
      <c r="G1105" s="0" t="s">
        <v>4382</v>
      </c>
      <c r="H1105" s="0" t="s">
        <v>4382</v>
      </c>
      <c r="I1105" s="0" t="s">
        <v>615</v>
      </c>
      <c r="J1105" s="0" t="s">
        <v>615</v>
      </c>
      <c r="K1105" s="0" t="s">
        <v>1415</v>
      </c>
      <c r="L1105" s="0" t="s">
        <v>32</v>
      </c>
      <c r="M1105" s="0" t="s">
        <v>33</v>
      </c>
      <c r="N1105" s="0" t="s">
        <v>35</v>
      </c>
      <c r="O1105" s="0" t="s">
        <v>35</v>
      </c>
      <c r="P1105" s="0" t="s">
        <v>39</v>
      </c>
      <c r="Q1105" s="0" t="s">
        <v>4384</v>
      </c>
      <c r="R1105" s="0" t="s">
        <v>4383</v>
      </c>
      <c r="S1105" s="0" t="s">
        <v>35</v>
      </c>
      <c r="T1105" s="0">
        <f>HYPERLINK("https://storage.sslt.ae/ItemVariation/08DCFA78-F920-4017-8B48-50F2E4C50EB8/4B4CD7A3-A605-4DDB-A977-C79E6EC4A685.png","Variant Image")</f>
      </c>
      <c r="U1105" s="0">
        <f>HYPERLINK("https://ec-qa-storage.kldlms.com/Item/08DCFA78-F920-4017-8B48-50F2E4C50EB8/1CDBD371-6787-4FF6-8E77-314F20F3406E.png","Thumbnail Image")</f>
      </c>
      <c r="V1105" s="0">
        <f>HYPERLINK("https://ec-qa-storage.kldlms.com/ItemGallery/08DCFA78-F920-4017-8B48-50F2E4C50EB8/0A23B47E-873A-44A6-B3AF-0F0D0368F5E8.png","Gallery Image ")</f>
      </c>
      <c r="W1105" s="0" t="s">
        <v>22</v>
      </c>
      <c r="X1105" s="0" t="s">
        <v>4385</v>
      </c>
    </row>
    <row r="1106">
      <c r="A1106" s="0" t="s">
        <v>4386</v>
      </c>
      <c r="B1106" s="0" t="s">
        <v>4386</v>
      </c>
      <c r="C1106" s="0" t="s">
        <v>4387</v>
      </c>
      <c r="D1106" s="0" t="s">
        <v>27</v>
      </c>
      <c r="E1106" s="0" t="s">
        <v>4364</v>
      </c>
      <c r="F1106" s="0" t="s">
        <v>3120</v>
      </c>
      <c r="G1106" s="0" t="s">
        <v>4386</v>
      </c>
      <c r="H1106" s="0" t="s">
        <v>4386</v>
      </c>
      <c r="I1106" s="0" t="s">
        <v>615</v>
      </c>
      <c r="J1106" s="0" t="s">
        <v>615</v>
      </c>
      <c r="K1106" s="0" t="s">
        <v>4388</v>
      </c>
      <c r="L1106" s="0" t="s">
        <v>32</v>
      </c>
      <c r="M1106" s="0" t="s">
        <v>33</v>
      </c>
      <c r="N1106" s="0" t="s">
        <v>35</v>
      </c>
      <c r="O1106" s="0" t="s">
        <v>35</v>
      </c>
      <c r="P1106" s="0" t="s">
        <v>39</v>
      </c>
      <c r="Q1106" s="0" t="s">
        <v>4389</v>
      </c>
      <c r="R1106" s="0" t="s">
        <v>4387</v>
      </c>
      <c r="S1106" s="0" t="s">
        <v>35</v>
      </c>
      <c r="T1106" s="0">
        <f>HYPERLINK("https://storage.sslt.ae/ItemVariation/08DCFA78-F97D-415A-81F0-DF7CFE3667C7/338C1010-DA05-41F3-9006-B0EC5A6248DF.png","Variant Image")</f>
      </c>
      <c r="U1106" s="0">
        <f>HYPERLINK("https://ec-qa-storage.kldlms.com/Item/08DCFA78-F97D-415A-81F0-DF7CFE3667C7/2C2DE0CE-2C2D-4E8E-89CD-9DE6D17D1503.png","Thumbnail Image")</f>
      </c>
      <c r="V1106" s="0">
        <f>HYPERLINK("https://ec-qa-storage.kldlms.com/ItemGallery/08DCFA78-F97D-415A-81F0-DF7CFE3667C7/18036643-4C4C-4754-9FF1-2DA1A2E295C9.png","Gallery Image ")</f>
      </c>
      <c r="W1106" s="0" t="s">
        <v>22</v>
      </c>
      <c r="X1106" s="0" t="s">
        <v>4390</v>
      </c>
    </row>
    <row r="1107">
      <c r="A1107" s="0" t="s">
        <v>4391</v>
      </c>
      <c r="B1107" s="0" t="s">
        <v>4391</v>
      </c>
      <c r="C1107" s="0" t="s">
        <v>4392</v>
      </c>
      <c r="D1107" s="0" t="s">
        <v>27</v>
      </c>
      <c r="E1107" s="0" t="s">
        <v>4364</v>
      </c>
      <c r="F1107" s="0" t="s">
        <v>3120</v>
      </c>
      <c r="G1107" s="0" t="s">
        <v>4391</v>
      </c>
      <c r="H1107" s="0" t="s">
        <v>4391</v>
      </c>
      <c r="I1107" s="0" t="s">
        <v>615</v>
      </c>
      <c r="J1107" s="0" t="s">
        <v>615</v>
      </c>
      <c r="K1107" s="0" t="s">
        <v>4393</v>
      </c>
      <c r="L1107" s="0" t="s">
        <v>32</v>
      </c>
      <c r="M1107" s="0" t="s">
        <v>33</v>
      </c>
      <c r="N1107" s="0" t="s">
        <v>276</v>
      </c>
      <c r="O1107" s="0" t="s">
        <v>35</v>
      </c>
      <c r="P1107" s="0" t="s">
        <v>39</v>
      </c>
      <c r="Q1107" s="0" t="s">
        <v>4394</v>
      </c>
      <c r="R1107" s="0" t="s">
        <v>4392</v>
      </c>
      <c r="S1107" s="0" t="s">
        <v>276</v>
      </c>
      <c r="T1107" s="0">
        <f>HYPERLINK("https://storage.sslt.ae/ItemVariation/08DCFA78-F9D8-4B87-876D-B333351AA49D/872606AD-F98B-4FA1-81CA-47006BB13881.png","Variant Image")</f>
      </c>
      <c r="U1107" s="0">
        <f>HYPERLINK("https://ec-qa-storage.kldlms.com/Item/08DCFA78-F9D8-4B87-876D-B333351AA49D/36CED5CD-FBC7-4B10-8210-41CD8E37AF11.png","Thumbnail Image")</f>
      </c>
      <c r="V1107" s="0">
        <f>HYPERLINK("https://ec-qa-storage.kldlms.com/ItemGallery/08DCFA78-F9D8-4B87-876D-B333351AA49D/A87C999D-CE8D-4512-9AC1-EF10682ECCAE.png","Gallery Image ")</f>
      </c>
      <c r="W1107" s="0" t="s">
        <v>22</v>
      </c>
      <c r="X1107" s="0" t="s">
        <v>4395</v>
      </c>
    </row>
    <row r="1108">
      <c r="A1108" s="0" t="s">
        <v>4396</v>
      </c>
      <c r="B1108" s="0" t="s">
        <v>4396</v>
      </c>
      <c r="C1108" s="0" t="s">
        <v>4397</v>
      </c>
      <c r="D1108" s="0" t="s">
        <v>27</v>
      </c>
      <c r="E1108" s="0" t="s">
        <v>4364</v>
      </c>
      <c r="F1108" s="0" t="s">
        <v>3120</v>
      </c>
      <c r="G1108" s="0" t="s">
        <v>4396</v>
      </c>
      <c r="H1108" s="0" t="s">
        <v>4396</v>
      </c>
      <c r="I1108" s="0" t="s">
        <v>615</v>
      </c>
      <c r="J1108" s="0" t="s">
        <v>615</v>
      </c>
      <c r="K1108" s="0" t="s">
        <v>3043</v>
      </c>
      <c r="L1108" s="0" t="s">
        <v>32</v>
      </c>
      <c r="M1108" s="0" t="s">
        <v>33</v>
      </c>
      <c r="N1108" s="0" t="s">
        <v>142</v>
      </c>
      <c r="O1108" s="0" t="s">
        <v>35</v>
      </c>
      <c r="P1108" s="0" t="s">
        <v>39</v>
      </c>
      <c r="Q1108" s="0" t="s">
        <v>3044</v>
      </c>
      <c r="R1108" s="0" t="s">
        <v>4397</v>
      </c>
      <c r="S1108" s="0" t="s">
        <v>142</v>
      </c>
      <c r="T1108" s="0">
        <f>HYPERLINK("https://storage.sslt.ae/ItemVariation/08DCFA78-FA34-476E-859C-2779DC32A3CC/F0DF4E5F-C6DF-4453-9FE9-C91D055F7DE3.png","Variant Image")</f>
      </c>
      <c r="U1108" s="0">
        <f>HYPERLINK("https://ec-qa-storage.kldlms.com/Item/08DCFA78-FA34-476E-859C-2779DC32A3CC/402DA719-447F-4735-B1FE-90141E972B60.png","Thumbnail Image")</f>
      </c>
      <c r="V1108" s="0">
        <f>HYPERLINK("https://ec-qa-storage.kldlms.com/ItemGallery/08DCFA78-FA34-476E-859C-2779DC32A3CC/05A15496-4E54-403E-991B-C944D9885034.png","Gallery Image ")</f>
      </c>
      <c r="W1108" s="0" t="s">
        <v>22</v>
      </c>
      <c r="X1108" s="0" t="s">
        <v>4398</v>
      </c>
    </row>
    <row r="1109">
      <c r="A1109" s="0" t="s">
        <v>4399</v>
      </c>
      <c r="B1109" s="0" t="s">
        <v>4399</v>
      </c>
      <c r="C1109" s="0" t="s">
        <v>4400</v>
      </c>
      <c r="D1109" s="0" t="s">
        <v>27</v>
      </c>
      <c r="E1109" s="0" t="s">
        <v>4401</v>
      </c>
      <c r="F1109" s="0" t="s">
        <v>3120</v>
      </c>
      <c r="G1109" s="0" t="s">
        <v>4399</v>
      </c>
      <c r="H1109" s="0" t="s">
        <v>4399</v>
      </c>
      <c r="I1109" s="0" t="s">
        <v>615</v>
      </c>
      <c r="J1109" s="0" t="s">
        <v>615</v>
      </c>
      <c r="K1109" s="0" t="s">
        <v>65</v>
      </c>
      <c r="L1109" s="0" t="s">
        <v>32</v>
      </c>
      <c r="M1109" s="0" t="s">
        <v>33</v>
      </c>
      <c r="N1109" s="0" t="s">
        <v>164</v>
      </c>
      <c r="O1109" s="0" t="s">
        <v>35</v>
      </c>
      <c r="P1109" s="0" t="s">
        <v>39</v>
      </c>
      <c r="Q1109" s="0" t="s">
        <v>68</v>
      </c>
      <c r="R1109" s="0" t="s">
        <v>4400</v>
      </c>
      <c r="S1109" s="0" t="s">
        <v>164</v>
      </c>
      <c r="T1109" s="0">
        <f>HYPERLINK("https://storage.sslt.ae/ItemVariation/08DCFA78-FA91-4A81-848F-B0B79E545871/F9C4C395-E55B-4683-9F37-2B79E7D8783B.png","Variant Image")</f>
      </c>
      <c r="U1109" s="0">
        <f>HYPERLINK("https://ec-qa-storage.kldlms.com/Item/08DCFA78-FA91-4A81-848F-B0B79E545871/190A2933-A50B-4BC0-9277-46DBBC005385.png","Thumbnail Image")</f>
      </c>
      <c r="V1109" s="0">
        <f>HYPERLINK("https://ec-qa-storage.kldlms.com/ItemGallery/08DCFA78-FA91-4A81-848F-B0B79E545871/D6384D54-6D87-485C-81F5-C585F0CC051D.png","Gallery Image ")</f>
      </c>
      <c r="W1109" s="0" t="s">
        <v>22</v>
      </c>
      <c r="X1109" s="0" t="s">
        <v>4402</v>
      </c>
    </row>
    <row r="1110">
      <c r="A1110" s="0" t="s">
        <v>4403</v>
      </c>
      <c r="B1110" s="0" t="s">
        <v>4403</v>
      </c>
      <c r="C1110" s="0" t="s">
        <v>4404</v>
      </c>
      <c r="D1110" s="0" t="s">
        <v>27</v>
      </c>
      <c r="E1110" s="0" t="s">
        <v>4401</v>
      </c>
      <c r="F1110" s="0" t="s">
        <v>3120</v>
      </c>
      <c r="G1110" s="0" t="s">
        <v>4403</v>
      </c>
      <c r="H1110" s="0" t="s">
        <v>4403</v>
      </c>
      <c r="I1110" s="0" t="s">
        <v>615</v>
      </c>
      <c r="J1110" s="0" t="s">
        <v>615</v>
      </c>
      <c r="K1110" s="0" t="s">
        <v>679</v>
      </c>
      <c r="L1110" s="0" t="s">
        <v>32</v>
      </c>
      <c r="M1110" s="0" t="s">
        <v>33</v>
      </c>
      <c r="N1110" s="0" t="s">
        <v>202</v>
      </c>
      <c r="O1110" s="0" t="s">
        <v>35</v>
      </c>
      <c r="P1110" s="0" t="s">
        <v>39</v>
      </c>
      <c r="Q1110" s="0" t="s">
        <v>4405</v>
      </c>
      <c r="R1110" s="0" t="s">
        <v>4404</v>
      </c>
      <c r="S1110" s="0" t="s">
        <v>202</v>
      </c>
      <c r="T1110" s="0">
        <f>HYPERLINK("https://storage.sslt.ae/ItemVariation/08DCFA78-FAE7-49BC-8A7E-65E77BC3E275/35DE4A89-4EE5-498A-A046-15B9D0F7C362.png","Variant Image")</f>
      </c>
      <c r="U1110" s="0">
        <f>HYPERLINK("https://ec-qa-storage.kldlms.com/Item/08DCFA78-FAE7-49BC-8A7E-65E77BC3E275/5BF92AC9-2AB8-4CAB-BCDE-0F28DCAE8E21.png","Thumbnail Image")</f>
      </c>
      <c r="V1110" s="0">
        <f>HYPERLINK("https://ec-qa-storage.kldlms.com/ItemGallery/08DCFA78-FAE7-49BC-8A7E-65E77BC3E275/878B41DD-6443-49E6-831A-DA0D858B1A68.png","Gallery Image ")</f>
      </c>
      <c r="W1110" s="0" t="s">
        <v>22</v>
      </c>
      <c r="X1110" s="0" t="s">
        <v>4406</v>
      </c>
    </row>
    <row r="1111">
      <c r="A1111" s="0" t="s">
        <v>4407</v>
      </c>
      <c r="B1111" s="0" t="s">
        <v>4407</v>
      </c>
      <c r="C1111" s="0" t="s">
        <v>4408</v>
      </c>
      <c r="D1111" s="0" t="s">
        <v>27</v>
      </c>
      <c r="E1111" s="0" t="s">
        <v>4401</v>
      </c>
      <c r="F1111" s="0" t="s">
        <v>3120</v>
      </c>
      <c r="G1111" s="0" t="s">
        <v>4407</v>
      </c>
      <c r="H1111" s="0" t="s">
        <v>4407</v>
      </c>
      <c r="I1111" s="0" t="s">
        <v>615</v>
      </c>
      <c r="J1111" s="0" t="s">
        <v>615</v>
      </c>
      <c r="K1111" s="0" t="s">
        <v>4409</v>
      </c>
      <c r="L1111" s="0" t="s">
        <v>32</v>
      </c>
      <c r="M1111" s="0" t="s">
        <v>33</v>
      </c>
      <c r="N1111" s="0" t="s">
        <v>218</v>
      </c>
      <c r="O1111" s="0" t="s">
        <v>35</v>
      </c>
      <c r="P1111" s="0" t="s">
        <v>39</v>
      </c>
      <c r="Q1111" s="0" t="s">
        <v>4410</v>
      </c>
      <c r="R1111" s="0" t="s">
        <v>4408</v>
      </c>
      <c r="S1111" s="0" t="s">
        <v>218</v>
      </c>
      <c r="T1111" s="0">
        <f>HYPERLINK("https://storage.sslt.ae/ItemVariation/08DCFA78-FB39-485C-8743-C4D762C4D42F/9B1853F4-E2F9-4E43-AE7A-BB93B656BE20.png","Variant Image")</f>
      </c>
      <c r="U1111" s="0">
        <f>HYPERLINK("https://ec-qa-storage.kldlms.com/Item/08DCFA78-FB39-485C-8743-C4D762C4D42F/A3828935-34B4-4B5D-9062-06B2222D1DF1.png","Thumbnail Image")</f>
      </c>
      <c r="V1111" s="0">
        <f>HYPERLINK("https://ec-qa-storage.kldlms.com/ItemGallery/08DCFA78-FB39-485C-8743-C4D762C4D42F/1AE9AD77-7B64-4655-B15E-1EC975AF8DB1.png","Gallery Image ")</f>
      </c>
      <c r="W1111" s="0" t="s">
        <v>22</v>
      </c>
      <c r="X1111" s="0" t="s">
        <v>4411</v>
      </c>
    </row>
    <row r="1112">
      <c r="A1112" s="0" t="s">
        <v>4412</v>
      </c>
      <c r="B1112" s="0" t="s">
        <v>4412</v>
      </c>
      <c r="C1112" s="0" t="s">
        <v>4413</v>
      </c>
      <c r="D1112" s="0" t="s">
        <v>27</v>
      </c>
      <c r="E1112" s="0" t="s">
        <v>4401</v>
      </c>
      <c r="F1112" s="0" t="s">
        <v>3120</v>
      </c>
      <c r="G1112" s="0" t="s">
        <v>4412</v>
      </c>
      <c r="H1112" s="0" t="s">
        <v>4412</v>
      </c>
      <c r="I1112" s="0" t="s">
        <v>615</v>
      </c>
      <c r="J1112" s="0" t="s">
        <v>615</v>
      </c>
      <c r="K1112" s="0" t="s">
        <v>4414</v>
      </c>
      <c r="L1112" s="0" t="s">
        <v>32</v>
      </c>
      <c r="M1112" s="0" t="s">
        <v>33</v>
      </c>
      <c r="N1112" s="0" t="s">
        <v>209</v>
      </c>
      <c r="O1112" s="0" t="s">
        <v>35</v>
      </c>
      <c r="P1112" s="0" t="s">
        <v>39</v>
      </c>
      <c r="Q1112" s="0" t="s">
        <v>4415</v>
      </c>
      <c r="R1112" s="0" t="s">
        <v>4413</v>
      </c>
      <c r="S1112" s="0" t="s">
        <v>209</v>
      </c>
      <c r="T1112" s="0">
        <f>HYPERLINK("https://storage.sslt.ae/ItemVariation/08DCFA78-FB94-449D-8399-093A58B7EE07/15D4D14A-BB58-4630-993F-CA967D3700B5.png","Variant Image")</f>
      </c>
      <c r="U1112" s="0">
        <f>HYPERLINK("https://ec-qa-storage.kldlms.com/Item/08DCFA78-FB94-449D-8399-093A58B7EE07/639E39D7-0461-48FC-B72F-92485A967EE1.png","Thumbnail Image")</f>
      </c>
      <c r="V1112" s="0">
        <f>HYPERLINK("https://ec-qa-storage.kldlms.com/ItemGallery/08DCFA78-FB94-449D-8399-093A58B7EE07/0598DECD-8D2F-4B57-94EF-8A25C92687D0.png","Gallery Image ")</f>
      </c>
      <c r="W1112" s="0" t="s">
        <v>22</v>
      </c>
      <c r="X1112" s="0" t="s">
        <v>4416</v>
      </c>
    </row>
    <row r="1113">
      <c r="A1113" s="0" t="s">
        <v>4417</v>
      </c>
      <c r="B1113" s="0" t="s">
        <v>4417</v>
      </c>
      <c r="C1113" s="0" t="s">
        <v>4418</v>
      </c>
      <c r="D1113" s="0" t="s">
        <v>27</v>
      </c>
      <c r="E1113" s="0" t="s">
        <v>4401</v>
      </c>
      <c r="F1113" s="0" t="s">
        <v>3120</v>
      </c>
      <c r="G1113" s="0" t="s">
        <v>4417</v>
      </c>
      <c r="H1113" s="0" t="s">
        <v>4417</v>
      </c>
      <c r="I1113" s="0" t="s">
        <v>615</v>
      </c>
      <c r="J1113" s="0" t="s">
        <v>615</v>
      </c>
      <c r="K1113" s="0" t="s">
        <v>4419</v>
      </c>
      <c r="L1113" s="0" t="s">
        <v>32</v>
      </c>
      <c r="M1113" s="0" t="s">
        <v>33</v>
      </c>
      <c r="N1113" s="0" t="s">
        <v>218</v>
      </c>
      <c r="O1113" s="0" t="s">
        <v>35</v>
      </c>
      <c r="P1113" s="0" t="s">
        <v>39</v>
      </c>
      <c r="Q1113" s="0" t="s">
        <v>4420</v>
      </c>
      <c r="R1113" s="0" t="s">
        <v>4418</v>
      </c>
      <c r="S1113" s="0" t="s">
        <v>218</v>
      </c>
      <c r="T1113" s="0">
        <f>HYPERLINK("https://storage.sslt.ae/ItemVariation/08DCFA78-FBF0-48AE-8170-C45C18939FE7/63A7FB66-CA4C-4446-8789-B6EA788E3201.png","Variant Image")</f>
      </c>
      <c r="U1113" s="0">
        <f>HYPERLINK("https://ec-qa-storage.kldlms.com/Item/08DCFA78-FBF0-48AE-8170-C45C18939FE7/92868B39-21CD-4895-AA85-9FB93AE8FD41.png","Thumbnail Image")</f>
      </c>
      <c r="V1113" s="0">
        <f>HYPERLINK("https://ec-qa-storage.kldlms.com/ItemGallery/08DCFA78-FBF0-48AE-8170-C45C18939FE7/B4F7C1B6-C6DD-4649-B7C3-15A7CD74EE6C.png","Gallery Image ")</f>
      </c>
      <c r="W1113" s="0" t="s">
        <v>22</v>
      </c>
      <c r="X1113" s="0" t="s">
        <v>4421</v>
      </c>
    </row>
    <row r="1114">
      <c r="A1114" s="0" t="s">
        <v>4422</v>
      </c>
      <c r="B1114" s="0" t="s">
        <v>4422</v>
      </c>
      <c r="C1114" s="0" t="s">
        <v>4423</v>
      </c>
      <c r="D1114" s="0" t="s">
        <v>27</v>
      </c>
      <c r="E1114" s="0" t="s">
        <v>4401</v>
      </c>
      <c r="F1114" s="0" t="s">
        <v>3120</v>
      </c>
      <c r="G1114" s="0" t="s">
        <v>4422</v>
      </c>
      <c r="H1114" s="0" t="s">
        <v>4422</v>
      </c>
      <c r="I1114" s="0" t="s">
        <v>615</v>
      </c>
      <c r="J1114" s="0" t="s">
        <v>615</v>
      </c>
      <c r="K1114" s="0" t="s">
        <v>4424</v>
      </c>
      <c r="L1114" s="0" t="s">
        <v>32</v>
      </c>
      <c r="M1114" s="0" t="s">
        <v>33</v>
      </c>
      <c r="N1114" s="0" t="s">
        <v>1030</v>
      </c>
      <c r="O1114" s="0" t="s">
        <v>35</v>
      </c>
      <c r="P1114" s="0" t="s">
        <v>39</v>
      </c>
      <c r="Q1114" s="0" t="s">
        <v>4425</v>
      </c>
      <c r="R1114" s="0" t="s">
        <v>4423</v>
      </c>
      <c r="S1114" s="0" t="s">
        <v>1030</v>
      </c>
      <c r="T1114" s="0">
        <f>HYPERLINK("https://storage.sslt.ae/ItemVariation/08DCFA78-FC4C-46FD-841B-766C48975A3E/C479BE4D-82E9-4232-9147-B0967E023995.png","Variant Image")</f>
      </c>
      <c r="U1114" s="0">
        <f>HYPERLINK("https://ec-qa-storage.kldlms.com/Item/08DCFA78-FC4C-46FD-841B-766C48975A3E/3746F39B-5DE6-4BC1-B75E-0ACD6906DC21.png","Thumbnail Image")</f>
      </c>
      <c r="V1114" s="0">
        <f>HYPERLINK("https://ec-qa-storage.kldlms.com/ItemGallery/08DCFA78-FC4C-46FD-841B-766C48975A3E/AF74F259-7784-4B1E-967D-7AD718E4AD03.png","Gallery Image ")</f>
      </c>
      <c r="W1114" s="0" t="s">
        <v>22</v>
      </c>
      <c r="X1114" s="0" t="s">
        <v>4426</v>
      </c>
    </row>
    <row r="1115">
      <c r="A1115" s="0" t="s">
        <v>4427</v>
      </c>
      <c r="B1115" s="0" t="s">
        <v>4427</v>
      </c>
      <c r="C1115" s="0" t="s">
        <v>4428</v>
      </c>
      <c r="D1115" s="0" t="s">
        <v>27</v>
      </c>
      <c r="E1115" s="0" t="s">
        <v>4401</v>
      </c>
      <c r="F1115" s="0" t="s">
        <v>3120</v>
      </c>
      <c r="G1115" s="0" t="s">
        <v>4427</v>
      </c>
      <c r="H1115" s="0" t="s">
        <v>4427</v>
      </c>
      <c r="I1115" s="0" t="s">
        <v>615</v>
      </c>
      <c r="J1115" s="0" t="s">
        <v>615</v>
      </c>
      <c r="K1115" s="0" t="s">
        <v>4429</v>
      </c>
      <c r="L1115" s="0" t="s">
        <v>32</v>
      </c>
      <c r="M1115" s="0" t="s">
        <v>33</v>
      </c>
      <c r="N1115" s="0" t="s">
        <v>512</v>
      </c>
      <c r="O1115" s="0" t="s">
        <v>35</v>
      </c>
      <c r="P1115" s="0" t="s">
        <v>39</v>
      </c>
      <c r="Q1115" s="0" t="s">
        <v>4430</v>
      </c>
      <c r="R1115" s="0" t="s">
        <v>4428</v>
      </c>
      <c r="S1115" s="0" t="s">
        <v>512</v>
      </c>
      <c r="T1115" s="0">
        <f>HYPERLINK("https://storage.sslt.ae/ItemVariation/08DCFA78-FCA7-4D0C-8F20-E6A5E9E5009C/B9B1DED8-FBAC-46C1-A700-6CD825E139BB.png","Variant Image")</f>
      </c>
      <c r="U1115" s="0">
        <f>HYPERLINK("https://ec-qa-storage.kldlms.com/Item/08DCFA78-FCA7-4D0C-8F20-E6A5E9E5009C/4ADD2D8E-2076-40A1-B3C0-BCD1D588701D.png","Thumbnail Image")</f>
      </c>
      <c r="V1115" s="0">
        <f>HYPERLINK("https://ec-qa-storage.kldlms.com/ItemGallery/08DCFA78-FCA7-4D0C-8F20-E6A5E9E5009C/392C5C7A-0D8A-4C1C-964D-9886F7D60721.png","Gallery Image ")</f>
      </c>
      <c r="W1115" s="0" t="s">
        <v>22</v>
      </c>
      <c r="X1115" s="0" t="s">
        <v>4431</v>
      </c>
    </row>
    <row r="1116">
      <c r="A1116" s="0" t="s">
        <v>4432</v>
      </c>
      <c r="B1116" s="0" t="s">
        <v>4432</v>
      </c>
      <c r="C1116" s="0" t="s">
        <v>4433</v>
      </c>
      <c r="D1116" s="0" t="s">
        <v>27</v>
      </c>
      <c r="E1116" s="0" t="s">
        <v>4401</v>
      </c>
      <c r="F1116" s="0" t="s">
        <v>3120</v>
      </c>
      <c r="G1116" s="0" t="s">
        <v>4432</v>
      </c>
      <c r="H1116" s="0" t="s">
        <v>4432</v>
      </c>
      <c r="I1116" s="0" t="s">
        <v>615</v>
      </c>
      <c r="J1116" s="0" t="s">
        <v>615</v>
      </c>
      <c r="K1116" s="0" t="s">
        <v>4429</v>
      </c>
      <c r="L1116" s="0" t="s">
        <v>32</v>
      </c>
      <c r="M1116" s="0" t="s">
        <v>33</v>
      </c>
      <c r="N1116" s="0" t="s">
        <v>140</v>
      </c>
      <c r="O1116" s="0" t="s">
        <v>35</v>
      </c>
      <c r="P1116" s="0" t="s">
        <v>39</v>
      </c>
      <c r="Q1116" s="0" t="s">
        <v>4430</v>
      </c>
      <c r="R1116" s="0" t="s">
        <v>4433</v>
      </c>
      <c r="S1116" s="0" t="s">
        <v>140</v>
      </c>
      <c r="T1116" s="0">
        <f>HYPERLINK("https://storage.sslt.ae/ItemVariation/08DCFA78-FD03-4AEB-8D13-8F10F6F1806C/57CE35E1-3B70-4B12-AB0C-762B6AC26761.png","Variant Image")</f>
      </c>
      <c r="U1116" s="0">
        <f>HYPERLINK("https://ec-qa-storage.kldlms.com/Item/08DCFA78-FD03-4AEB-8D13-8F10F6F1806C/B335C4C5-76D9-4413-9662-FC818B34F550.png","Thumbnail Image")</f>
      </c>
      <c r="V1116" s="0">
        <f>HYPERLINK("https://ec-qa-storage.kldlms.com/ItemGallery/08DCFA78-FD03-4AEB-8D13-8F10F6F1806C/BCE26E93-4653-4284-AE1A-113B8FB01FB4.png","Gallery Image ")</f>
      </c>
      <c r="W1116" s="0" t="s">
        <v>22</v>
      </c>
      <c r="X1116" s="0" t="s">
        <v>4434</v>
      </c>
    </row>
    <row r="1117">
      <c r="A1117" s="0" t="s">
        <v>4435</v>
      </c>
      <c r="B1117" s="0" t="s">
        <v>4435</v>
      </c>
      <c r="C1117" s="0" t="s">
        <v>4436</v>
      </c>
      <c r="D1117" s="0" t="s">
        <v>27</v>
      </c>
      <c r="E1117" s="0" t="s">
        <v>4401</v>
      </c>
      <c r="F1117" s="0" t="s">
        <v>3120</v>
      </c>
      <c r="G1117" s="0" t="s">
        <v>4435</v>
      </c>
      <c r="H1117" s="0" t="s">
        <v>4435</v>
      </c>
      <c r="I1117" s="0" t="s">
        <v>615</v>
      </c>
      <c r="J1117" s="0" t="s">
        <v>615</v>
      </c>
      <c r="K1117" s="0" t="s">
        <v>3170</v>
      </c>
      <c r="L1117" s="0" t="s">
        <v>32</v>
      </c>
      <c r="M1117" s="0" t="s">
        <v>33</v>
      </c>
      <c r="N1117" s="0" t="s">
        <v>202</v>
      </c>
      <c r="O1117" s="0" t="s">
        <v>35</v>
      </c>
      <c r="P1117" s="0" t="s">
        <v>39</v>
      </c>
      <c r="Q1117" s="0" t="s">
        <v>3171</v>
      </c>
      <c r="R1117" s="0" t="s">
        <v>4436</v>
      </c>
      <c r="S1117" s="0" t="s">
        <v>202</v>
      </c>
      <c r="T1117" s="0">
        <f>HYPERLINK("https://storage.sslt.ae/ItemVariation/08DCFA78-FD5F-4F36-823C-68A960E86FC9/6C87BF49-CE9F-42B5-A8EB-CCFC182E94CE.png","Variant Image")</f>
      </c>
      <c r="U1117" s="0">
        <f>HYPERLINK("https://ec-qa-storage.kldlms.com/Item/08DCFA78-FD5F-4F36-823C-68A960E86FC9/1E638630-482C-482B-A7E0-D2198C652EA6.png","Thumbnail Image")</f>
      </c>
      <c r="V1117" s="0">
        <f>HYPERLINK("https://ec-qa-storage.kldlms.com/ItemGallery/08DCFA78-FD5F-4F36-823C-68A960E86FC9/E262C520-9908-4D00-9D47-085E946E1EB3.png","Gallery Image ")</f>
      </c>
      <c r="W1117" s="0" t="s">
        <v>22</v>
      </c>
      <c r="X1117" s="0" t="s">
        <v>4437</v>
      </c>
    </row>
    <row r="1118">
      <c r="A1118" s="0" t="s">
        <v>4438</v>
      </c>
      <c r="B1118" s="0" t="s">
        <v>4438</v>
      </c>
      <c r="C1118" s="0" t="s">
        <v>4439</v>
      </c>
      <c r="D1118" s="0" t="s">
        <v>27</v>
      </c>
      <c r="E1118" s="0" t="s">
        <v>4401</v>
      </c>
      <c r="F1118" s="0" t="s">
        <v>3120</v>
      </c>
      <c r="G1118" s="0" t="s">
        <v>4438</v>
      </c>
      <c r="H1118" s="0" t="s">
        <v>4438</v>
      </c>
      <c r="I1118" s="0" t="s">
        <v>615</v>
      </c>
      <c r="J1118" s="0" t="s">
        <v>615</v>
      </c>
      <c r="K1118" s="0" t="s">
        <v>4440</v>
      </c>
      <c r="L1118" s="0" t="s">
        <v>32</v>
      </c>
      <c r="M1118" s="0" t="s">
        <v>33</v>
      </c>
      <c r="N1118" s="0" t="s">
        <v>280</v>
      </c>
      <c r="O1118" s="0" t="s">
        <v>35</v>
      </c>
      <c r="P1118" s="0" t="s">
        <v>39</v>
      </c>
      <c r="Q1118" s="0" t="s">
        <v>4441</v>
      </c>
      <c r="R1118" s="0" t="s">
        <v>4439</v>
      </c>
      <c r="S1118" s="0" t="s">
        <v>280</v>
      </c>
      <c r="T1118" s="0">
        <f>HYPERLINK("https://storage.sslt.ae/ItemVariation/08DCFA78-FDBB-4A30-8E9C-0C40B04A24DD/1A154212-B7E8-4FD1-834F-E5B3D2AB827E.png","Variant Image")</f>
      </c>
      <c r="U1118" s="0">
        <f>HYPERLINK("https://ec-qa-storage.kldlms.com/Item/08DCFA78-FDBB-4A30-8E9C-0C40B04A24DD/69680B29-E496-4911-877F-7871FF8B984B.png","Thumbnail Image")</f>
      </c>
      <c r="V1118" s="0">
        <f>HYPERLINK("https://ec-qa-storage.kldlms.com/ItemGallery/08DCFA78-FDBB-4A30-8E9C-0C40B04A24DD/1E1B252B-AAC2-4BB6-85D1-273696BE2AA2.png","Gallery Image ")</f>
      </c>
      <c r="W1118" s="0" t="s">
        <v>22</v>
      </c>
      <c r="X1118" s="0" t="s">
        <v>4442</v>
      </c>
    </row>
    <row r="1119">
      <c r="A1119" s="0" t="s">
        <v>4443</v>
      </c>
      <c r="B1119" s="0" t="s">
        <v>4443</v>
      </c>
      <c r="C1119" s="0" t="s">
        <v>4444</v>
      </c>
      <c r="D1119" s="0" t="s">
        <v>27</v>
      </c>
      <c r="E1119" s="0" t="s">
        <v>4401</v>
      </c>
      <c r="F1119" s="0" t="s">
        <v>3120</v>
      </c>
      <c r="G1119" s="0" t="s">
        <v>4443</v>
      </c>
      <c r="H1119" s="0" t="s">
        <v>4443</v>
      </c>
      <c r="I1119" s="0" t="s">
        <v>615</v>
      </c>
      <c r="J1119" s="0" t="s">
        <v>615</v>
      </c>
      <c r="K1119" s="0" t="s">
        <v>4445</v>
      </c>
      <c r="L1119" s="0" t="s">
        <v>32</v>
      </c>
      <c r="M1119" s="0" t="s">
        <v>33</v>
      </c>
      <c r="N1119" s="0" t="s">
        <v>160</v>
      </c>
      <c r="O1119" s="0" t="s">
        <v>35</v>
      </c>
      <c r="P1119" s="0" t="s">
        <v>39</v>
      </c>
      <c r="Q1119" s="0" t="s">
        <v>4446</v>
      </c>
      <c r="R1119" s="0" t="s">
        <v>4444</v>
      </c>
      <c r="S1119" s="0" t="s">
        <v>160</v>
      </c>
      <c r="T1119" s="0">
        <f>HYPERLINK("https://storage.sslt.ae/ItemVariation/08DCFA78-FE17-45AC-87BB-EDAF4E9500D5/439E9B90-9E41-48DD-9495-19AB3EBE864D.png","Variant Image")</f>
      </c>
      <c r="U1119" s="0">
        <f>HYPERLINK("https://ec-qa-storage.kldlms.com/Item/08DCFA78-FE17-45AC-87BB-EDAF4E9500D5/71CD17CC-8DF3-44CF-AD8A-45421A487BE8.png","Thumbnail Image")</f>
      </c>
      <c r="V1119" s="0">
        <f>HYPERLINK("https://ec-qa-storage.kldlms.com/ItemGallery/08DCFA78-FE17-45AC-87BB-EDAF4E9500D5/FA01C5AB-2B1F-44D1-97C8-8041A38F23BF.png","Gallery Image ")</f>
      </c>
      <c r="W1119" s="0" t="s">
        <v>22</v>
      </c>
      <c r="X1119" s="0" t="s">
        <v>4447</v>
      </c>
    </row>
    <row r="1120">
      <c r="A1120" s="0" t="s">
        <v>4448</v>
      </c>
      <c r="B1120" s="0" t="s">
        <v>4448</v>
      </c>
      <c r="C1120" s="0" t="s">
        <v>4449</v>
      </c>
      <c r="D1120" s="0" t="s">
        <v>27</v>
      </c>
      <c r="E1120" s="0" t="s">
        <v>4450</v>
      </c>
      <c r="F1120" s="0" t="s">
        <v>3120</v>
      </c>
      <c r="G1120" s="0" t="s">
        <v>4448</v>
      </c>
      <c r="H1120" s="0" t="s">
        <v>4448</v>
      </c>
      <c r="I1120" s="0" t="s">
        <v>615</v>
      </c>
      <c r="J1120" s="0" t="s">
        <v>615</v>
      </c>
      <c r="K1120" s="0" t="s">
        <v>1228</v>
      </c>
      <c r="L1120" s="0" t="s">
        <v>32</v>
      </c>
      <c r="M1120" s="0" t="s">
        <v>33</v>
      </c>
      <c r="N1120" s="0" t="s">
        <v>160</v>
      </c>
      <c r="O1120" s="0" t="s">
        <v>35</v>
      </c>
      <c r="P1120" s="0" t="s">
        <v>39</v>
      </c>
      <c r="Q1120" s="0" t="s">
        <v>4451</v>
      </c>
      <c r="R1120" s="0" t="s">
        <v>4449</v>
      </c>
      <c r="S1120" s="0" t="s">
        <v>160</v>
      </c>
      <c r="T1120" s="0">
        <f>HYPERLINK("https://storage.sslt.ae/ItemVariation/08DCFA78-FE73-4FA7-89BF-24C5972E7F51/84AE96A3-F2CE-45EC-B193-6E9864D0D017.png","Variant Image")</f>
      </c>
      <c r="U1120" s="0">
        <f>HYPERLINK("https://ec-qa-storage.kldlms.com/Item/08DCFA78-FE73-4FA7-89BF-24C5972E7F51/19E6EA35-9FED-4853-BFAB-400C32F86135.png","Thumbnail Image")</f>
      </c>
      <c r="V1120" s="0">
        <f>HYPERLINK("https://ec-qa-storage.kldlms.com/ItemGallery/08DCFA78-FE73-4FA7-89BF-24C5972E7F51/4C3E8265-174C-48C7-80EC-FAA728699CB5.png","Gallery Image ")</f>
      </c>
      <c r="W1120" s="0" t="s">
        <v>22</v>
      </c>
      <c r="X1120" s="0" t="s">
        <v>4452</v>
      </c>
    </row>
    <row r="1121">
      <c r="A1121" s="0" t="s">
        <v>4453</v>
      </c>
      <c r="B1121" s="0" t="s">
        <v>4453</v>
      </c>
      <c r="C1121" s="0" t="s">
        <v>4454</v>
      </c>
      <c r="D1121" s="0" t="s">
        <v>27</v>
      </c>
      <c r="E1121" s="0" t="s">
        <v>4450</v>
      </c>
      <c r="F1121" s="0" t="s">
        <v>3120</v>
      </c>
      <c r="G1121" s="0" t="s">
        <v>4453</v>
      </c>
      <c r="H1121" s="0" t="s">
        <v>4453</v>
      </c>
      <c r="I1121" s="0" t="s">
        <v>615</v>
      </c>
      <c r="J1121" s="0" t="s">
        <v>615</v>
      </c>
      <c r="K1121" s="0" t="s">
        <v>4455</v>
      </c>
      <c r="L1121" s="0" t="s">
        <v>32</v>
      </c>
      <c r="M1121" s="0" t="s">
        <v>33</v>
      </c>
      <c r="N1121" s="0" t="s">
        <v>1119</v>
      </c>
      <c r="O1121" s="0" t="s">
        <v>35</v>
      </c>
      <c r="P1121" s="0" t="s">
        <v>39</v>
      </c>
      <c r="Q1121" s="0" t="s">
        <v>4456</v>
      </c>
      <c r="R1121" s="0" t="s">
        <v>4454</v>
      </c>
      <c r="S1121" s="0" t="s">
        <v>1119</v>
      </c>
      <c r="T1121" s="0">
        <f>HYPERLINK("https://storage.sslt.ae/ItemVariation/08DCFA78-FECF-49BC-8AAF-3D3EA5FEC1F5/3B602D12-1F4B-48CD-89D8-72666253F01F.png","Variant Image")</f>
      </c>
      <c r="U1121" s="0">
        <f>HYPERLINK("https://ec-qa-storage.kldlms.com/Item/08DCFA78-FECF-49BC-8AAF-3D3EA5FEC1F5/2A099BF4-59B4-47DF-A7CC-03B57672A748.png","Thumbnail Image")</f>
      </c>
      <c r="V1121" s="0">
        <f>HYPERLINK("https://ec-qa-storage.kldlms.com/ItemGallery/08DCFA78-FECF-49BC-8AAF-3D3EA5FEC1F5/2880F5F2-E435-45F0-A679-7CE21E992722.png","Gallery Image ")</f>
      </c>
      <c r="W1121" s="0" t="s">
        <v>22</v>
      </c>
      <c r="X1121" s="0" t="s">
        <v>4457</v>
      </c>
    </row>
    <row r="1122">
      <c r="A1122" s="0" t="s">
        <v>4458</v>
      </c>
      <c r="B1122" s="0" t="s">
        <v>4458</v>
      </c>
      <c r="C1122" s="0" t="s">
        <v>4459</v>
      </c>
      <c r="D1122" s="0" t="s">
        <v>27</v>
      </c>
      <c r="E1122" s="0" t="s">
        <v>4450</v>
      </c>
      <c r="F1122" s="0" t="s">
        <v>3120</v>
      </c>
      <c r="G1122" s="0" t="s">
        <v>4458</v>
      </c>
      <c r="H1122" s="0" t="s">
        <v>4458</v>
      </c>
      <c r="I1122" s="0" t="s">
        <v>615</v>
      </c>
      <c r="J1122" s="0" t="s">
        <v>615</v>
      </c>
      <c r="K1122" s="0" t="s">
        <v>4460</v>
      </c>
      <c r="L1122" s="0" t="s">
        <v>32</v>
      </c>
      <c r="M1122" s="0" t="s">
        <v>33</v>
      </c>
      <c r="N1122" s="0" t="s">
        <v>647</v>
      </c>
      <c r="O1122" s="0" t="s">
        <v>35</v>
      </c>
      <c r="P1122" s="0" t="s">
        <v>39</v>
      </c>
      <c r="Q1122" s="0" t="s">
        <v>4461</v>
      </c>
      <c r="R1122" s="0" t="s">
        <v>4459</v>
      </c>
      <c r="S1122" s="0" t="s">
        <v>647</v>
      </c>
      <c r="T1122" s="0">
        <f>HYPERLINK("https://storage.sslt.ae/ItemVariation/08DCFA78-FF2B-4B75-81A5-911AF8EB88FE/F0D7BD0C-DB0C-4769-BB99-5A0A66EBD870.png","Variant Image")</f>
      </c>
      <c r="U1122" s="0">
        <f>HYPERLINK("https://ec-qa-storage.kldlms.com/Item/08DCFA78-FF2B-4B75-81A5-911AF8EB88FE/FB7A577C-6334-4462-A8B9-416D01C7D230.png","Thumbnail Image")</f>
      </c>
      <c r="V1122" s="0">
        <f>HYPERLINK("https://ec-qa-storage.kldlms.com/ItemGallery/08DCFA78-FF2B-4B75-81A5-911AF8EB88FE/266F8269-7465-41A0-B312-F82C5524EFC0.png","Gallery Image ")</f>
      </c>
      <c r="W1122" s="0" t="s">
        <v>22</v>
      </c>
      <c r="X1122" s="0" t="s">
        <v>4462</v>
      </c>
    </row>
    <row r="1123">
      <c r="A1123" s="0" t="s">
        <v>4463</v>
      </c>
      <c r="B1123" s="0" t="s">
        <v>4463</v>
      </c>
      <c r="C1123" s="0" t="s">
        <v>4464</v>
      </c>
      <c r="D1123" s="0" t="s">
        <v>27</v>
      </c>
      <c r="E1123" s="0" t="s">
        <v>4450</v>
      </c>
      <c r="F1123" s="0" t="s">
        <v>3120</v>
      </c>
      <c r="G1123" s="0" t="s">
        <v>4463</v>
      </c>
      <c r="H1123" s="0" t="s">
        <v>4463</v>
      </c>
      <c r="I1123" s="0" t="s">
        <v>615</v>
      </c>
      <c r="J1123" s="0" t="s">
        <v>615</v>
      </c>
      <c r="K1123" s="0" t="s">
        <v>4465</v>
      </c>
      <c r="L1123" s="0" t="s">
        <v>32</v>
      </c>
      <c r="M1123" s="0" t="s">
        <v>33</v>
      </c>
      <c r="N1123" s="0" t="s">
        <v>866</v>
      </c>
      <c r="O1123" s="0" t="s">
        <v>35</v>
      </c>
      <c r="P1123" s="0" t="s">
        <v>39</v>
      </c>
      <c r="Q1123" s="0" t="s">
        <v>4466</v>
      </c>
      <c r="R1123" s="0" t="s">
        <v>4464</v>
      </c>
      <c r="S1123" s="0" t="s">
        <v>866</v>
      </c>
      <c r="T1123" s="0">
        <f>HYPERLINK("https://storage.sslt.ae/ItemVariation/08DCFA78-FF88-40AF-8B70-3C1350D05C5F/E7265897-6A16-4ECB-931C-C5975E92264A.png","Variant Image")</f>
      </c>
      <c r="U1123" s="0">
        <f>HYPERLINK("https://ec-qa-storage.kldlms.com/Item/08DCFA78-FF88-40AF-8B70-3C1350D05C5F/011B88B9-54B3-4931-8E8B-B8F1A27B348B.png","Thumbnail Image")</f>
      </c>
      <c r="V1123" s="0">
        <f>HYPERLINK("https://ec-qa-storage.kldlms.com/ItemGallery/08DCFA78-FF88-40AF-8B70-3C1350D05C5F/1813AF64-CF6E-489A-BAC6-A81FD453FD0A.png","Gallery Image ")</f>
      </c>
      <c r="W1123" s="0" t="s">
        <v>22</v>
      </c>
      <c r="X1123" s="0" t="s">
        <v>4467</v>
      </c>
    </row>
    <row r="1124">
      <c r="A1124" s="0" t="s">
        <v>4468</v>
      </c>
      <c r="B1124" s="0" t="s">
        <v>4468</v>
      </c>
      <c r="C1124" s="0" t="s">
        <v>4469</v>
      </c>
      <c r="D1124" s="0" t="s">
        <v>27</v>
      </c>
      <c r="E1124" s="0" t="s">
        <v>4450</v>
      </c>
      <c r="F1124" s="0" t="s">
        <v>3120</v>
      </c>
      <c r="G1124" s="0" t="s">
        <v>4468</v>
      </c>
      <c r="H1124" s="0" t="s">
        <v>4468</v>
      </c>
      <c r="I1124" s="0" t="s">
        <v>615</v>
      </c>
      <c r="J1124" s="0" t="s">
        <v>615</v>
      </c>
      <c r="K1124" s="0" t="s">
        <v>4470</v>
      </c>
      <c r="L1124" s="0" t="s">
        <v>32</v>
      </c>
      <c r="M1124" s="0" t="s">
        <v>33</v>
      </c>
      <c r="N1124" s="0" t="s">
        <v>100</v>
      </c>
      <c r="O1124" s="0" t="s">
        <v>35</v>
      </c>
      <c r="P1124" s="0" t="s">
        <v>39</v>
      </c>
      <c r="Q1124" s="0" t="s">
        <v>4471</v>
      </c>
      <c r="R1124" s="0" t="s">
        <v>4469</v>
      </c>
      <c r="S1124" s="0" t="s">
        <v>100</v>
      </c>
      <c r="T1124" s="0">
        <f>HYPERLINK("https://storage.sslt.ae/ItemVariation/08DCFA78-FFE3-485D-8717-CFC57B794D39/C889ECA6-A96B-4DF2-AB5E-3B230A9EAE1E.png","Variant Image")</f>
      </c>
      <c r="U1124" s="0">
        <f>HYPERLINK("https://ec-qa-storage.kldlms.com/Item/08DCFA78-FFE3-485D-8717-CFC57B794D39/0CB7F277-C56C-4217-BD78-947921F712B8.png","Thumbnail Image")</f>
      </c>
      <c r="V1124" s="0">
        <f>HYPERLINK("https://ec-qa-storage.kldlms.com/ItemGallery/08DCFA78-FFE3-485D-8717-CFC57B794D39/C5602E3C-8EBB-4AB6-9784-9BEB00E42CC0.png","Gallery Image ")</f>
      </c>
      <c r="W1124" s="0" t="s">
        <v>22</v>
      </c>
      <c r="X1124" s="0" t="s">
        <v>4472</v>
      </c>
    </row>
    <row r="1125">
      <c r="A1125" s="0" t="s">
        <v>4473</v>
      </c>
      <c r="B1125" s="0" t="s">
        <v>4473</v>
      </c>
      <c r="C1125" s="0" t="s">
        <v>4474</v>
      </c>
      <c r="D1125" s="0" t="s">
        <v>27</v>
      </c>
      <c r="E1125" s="0" t="s">
        <v>4450</v>
      </c>
      <c r="F1125" s="0" t="s">
        <v>3120</v>
      </c>
      <c r="G1125" s="0" t="s">
        <v>4473</v>
      </c>
      <c r="H1125" s="0" t="s">
        <v>4473</v>
      </c>
      <c r="I1125" s="0" t="s">
        <v>615</v>
      </c>
      <c r="J1125" s="0" t="s">
        <v>615</v>
      </c>
      <c r="K1125" s="0" t="s">
        <v>4475</v>
      </c>
      <c r="L1125" s="0" t="s">
        <v>32</v>
      </c>
      <c r="M1125" s="0" t="s">
        <v>33</v>
      </c>
      <c r="N1125" s="0" t="s">
        <v>100</v>
      </c>
      <c r="O1125" s="0" t="s">
        <v>35</v>
      </c>
      <c r="P1125" s="0" t="s">
        <v>39</v>
      </c>
      <c r="Q1125" s="0" t="s">
        <v>4476</v>
      </c>
      <c r="R1125" s="0" t="s">
        <v>4474</v>
      </c>
      <c r="S1125" s="0" t="s">
        <v>100</v>
      </c>
      <c r="T1125" s="0">
        <f>HYPERLINK("https://storage.sslt.ae/ItemVariation/08DCFA79-003F-420E-8787-807465849BEC/039452D3-E098-485E-8DD7-5ACDAE7FE9B3.png","Variant Image")</f>
      </c>
      <c r="U1125" s="0">
        <f>HYPERLINK("https://ec-qa-storage.kldlms.com/Item/08DCFA79-003F-420E-8787-807465849BEC/627869D1-36E7-4576-A4D0-7946B790965A.png","Thumbnail Image")</f>
      </c>
      <c r="V1125" s="0">
        <f>HYPERLINK("https://ec-qa-storage.kldlms.com/ItemGallery/08DCFA79-003F-420E-8787-807465849BEC/63568178-7C1B-4CD9-B0B1-0DEC03DBC7D1.png","Gallery Image ")</f>
      </c>
      <c r="W1125" s="0" t="s">
        <v>22</v>
      </c>
      <c r="X1125" s="0" t="s">
        <v>4477</v>
      </c>
    </row>
    <row r="1126">
      <c r="A1126" s="0" t="s">
        <v>4478</v>
      </c>
      <c r="B1126" s="0" t="s">
        <v>4478</v>
      </c>
      <c r="C1126" s="0" t="s">
        <v>4479</v>
      </c>
      <c r="D1126" s="0" t="s">
        <v>27</v>
      </c>
      <c r="E1126" s="0" t="s">
        <v>4450</v>
      </c>
      <c r="F1126" s="0" t="s">
        <v>3120</v>
      </c>
      <c r="G1126" s="0" t="s">
        <v>4478</v>
      </c>
      <c r="H1126" s="0" t="s">
        <v>4478</v>
      </c>
      <c r="I1126" s="0" t="s">
        <v>615</v>
      </c>
      <c r="J1126" s="0" t="s">
        <v>615</v>
      </c>
      <c r="K1126" s="0" t="s">
        <v>4480</v>
      </c>
      <c r="L1126" s="0" t="s">
        <v>32</v>
      </c>
      <c r="M1126" s="0" t="s">
        <v>33</v>
      </c>
      <c r="N1126" s="0" t="s">
        <v>243</v>
      </c>
      <c r="O1126" s="0" t="s">
        <v>35</v>
      </c>
      <c r="P1126" s="0" t="s">
        <v>39</v>
      </c>
      <c r="Q1126" s="0" t="s">
        <v>4481</v>
      </c>
      <c r="R1126" s="0" t="s">
        <v>4479</v>
      </c>
      <c r="S1126" s="0" t="s">
        <v>243</v>
      </c>
      <c r="T1126" s="0">
        <f>HYPERLINK("https://storage.sslt.ae/ItemVariation/08DCFA79-009B-4B8C-84AF-EE7BC627F3CB/342BFC9E-FDB3-4E65-BC57-322A9415FA69.png","Variant Image")</f>
      </c>
      <c r="U1126" s="0">
        <f>HYPERLINK("https://ec-qa-storage.kldlms.com/Item/08DCFA79-009B-4B8C-84AF-EE7BC627F3CB/58A04868-5286-46CA-AF85-3C33B8BCE9E5.png","Thumbnail Image")</f>
      </c>
      <c r="V1126" s="0">
        <f>HYPERLINK("https://ec-qa-storage.kldlms.com/ItemGallery/08DCFA79-009B-4B8C-84AF-EE7BC627F3CB/A0E9CA1C-13F2-4AE3-A336-825B456984AA.png","Gallery Image ")</f>
      </c>
      <c r="W1126" s="0" t="s">
        <v>22</v>
      </c>
      <c r="X1126" s="0" t="s">
        <v>4482</v>
      </c>
    </row>
    <row r="1127">
      <c r="A1127" s="0" t="s">
        <v>4483</v>
      </c>
      <c r="B1127" s="0" t="s">
        <v>4483</v>
      </c>
      <c r="C1127" s="0" t="s">
        <v>4484</v>
      </c>
      <c r="D1127" s="0" t="s">
        <v>27</v>
      </c>
      <c r="E1127" s="0" t="s">
        <v>4450</v>
      </c>
      <c r="F1127" s="0" t="s">
        <v>3120</v>
      </c>
      <c r="G1127" s="0" t="s">
        <v>4483</v>
      </c>
      <c r="H1127" s="0" t="s">
        <v>4483</v>
      </c>
      <c r="I1127" s="0" t="s">
        <v>615</v>
      </c>
      <c r="J1127" s="0" t="s">
        <v>615</v>
      </c>
      <c r="K1127" s="0" t="s">
        <v>4485</v>
      </c>
      <c r="L1127" s="0" t="s">
        <v>32</v>
      </c>
      <c r="M1127" s="0" t="s">
        <v>33</v>
      </c>
      <c r="N1127" s="0" t="s">
        <v>35</v>
      </c>
      <c r="O1127" s="0" t="s">
        <v>35</v>
      </c>
      <c r="P1127" s="0" t="s">
        <v>39</v>
      </c>
      <c r="Q1127" s="0" t="s">
        <v>4486</v>
      </c>
      <c r="R1127" s="0" t="s">
        <v>4484</v>
      </c>
      <c r="S1127" s="0" t="s">
        <v>35</v>
      </c>
      <c r="T1127" s="0">
        <f>HYPERLINK("https://storage.sslt.ae/ItemVariation/08DCFA79-00F6-48A4-8DC2-53774A26503B/89CF7A27-310D-4B12-A836-C96A92FCE2D3.png","Variant Image")</f>
      </c>
      <c r="U1127" s="0">
        <f>HYPERLINK("https://ec-qa-storage.kldlms.com/Item/08DCFA79-00F6-48A4-8DC2-53774A26503B/BD37B792-B33E-4131-9971-CFDF3AB5D967.png","Thumbnail Image")</f>
      </c>
      <c r="V1127" s="0">
        <f>HYPERLINK("https://ec-qa-storage.kldlms.com/ItemGallery/08DCFA79-00F6-48A4-8DC2-53774A26503B/6A0F9497-2F40-402D-9AE9-FCE01EC0D619.png","Gallery Image ")</f>
      </c>
      <c r="W1127" s="0" t="s">
        <v>22</v>
      </c>
      <c r="X1127" s="0" t="s">
        <v>4487</v>
      </c>
    </row>
    <row r="1128">
      <c r="A1128" s="0" t="s">
        <v>4488</v>
      </c>
      <c r="B1128" s="0" t="s">
        <v>4488</v>
      </c>
      <c r="C1128" s="0" t="s">
        <v>4489</v>
      </c>
      <c r="D1128" s="0" t="s">
        <v>27</v>
      </c>
      <c r="E1128" s="0" t="s">
        <v>4450</v>
      </c>
      <c r="F1128" s="0" t="s">
        <v>3120</v>
      </c>
      <c r="G1128" s="0" t="s">
        <v>4488</v>
      </c>
      <c r="H1128" s="0" t="s">
        <v>4488</v>
      </c>
      <c r="I1128" s="0" t="s">
        <v>615</v>
      </c>
      <c r="J1128" s="0" t="s">
        <v>615</v>
      </c>
      <c r="K1128" s="0" t="s">
        <v>3399</v>
      </c>
      <c r="L1128" s="0" t="s">
        <v>32</v>
      </c>
      <c r="M1128" s="0" t="s">
        <v>33</v>
      </c>
      <c r="N1128" s="0" t="s">
        <v>2192</v>
      </c>
      <c r="O1128" s="0" t="s">
        <v>35</v>
      </c>
      <c r="P1128" s="0" t="s">
        <v>39</v>
      </c>
      <c r="Q1128" s="0" t="s">
        <v>3400</v>
      </c>
      <c r="R1128" s="0" t="s">
        <v>4489</v>
      </c>
      <c r="S1128" s="0" t="s">
        <v>2192</v>
      </c>
      <c r="T1128" s="0">
        <f>HYPERLINK("https://storage.sslt.ae/ItemVariation/08DCFA79-0152-4803-8FB1-F31E822A1150/59A6EBE3-CC3C-4253-A6FB-B0BA1EE6F683.png","Variant Image")</f>
      </c>
      <c r="U1128" s="0">
        <f>HYPERLINK("https://ec-qa-storage.kldlms.com/Item/08DCFA79-0152-4803-8FB1-F31E822A1150/CAB63AE0-BF94-4684-A00A-5BF1EAC02B27.png","Thumbnail Image")</f>
      </c>
      <c r="V1128" s="0">
        <f>HYPERLINK("https://ec-qa-storage.kldlms.com/ItemGallery/08DCFA79-0152-4803-8FB1-F31E822A1150/21FBF6D4-2F9F-4804-AAFA-278850E4B9D3.png","Gallery Image ")</f>
      </c>
      <c r="W1128" s="0" t="s">
        <v>22</v>
      </c>
      <c r="X1128" s="0" t="s">
        <v>4490</v>
      </c>
    </row>
    <row r="1129">
      <c r="A1129" s="0" t="s">
        <v>4491</v>
      </c>
      <c r="B1129" s="0" t="s">
        <v>4491</v>
      </c>
      <c r="C1129" s="0" t="s">
        <v>4492</v>
      </c>
      <c r="D1129" s="0" t="s">
        <v>27</v>
      </c>
      <c r="E1129" s="0" t="s">
        <v>4450</v>
      </c>
      <c r="F1129" s="0" t="s">
        <v>3120</v>
      </c>
      <c r="G1129" s="0" t="s">
        <v>4491</v>
      </c>
      <c r="H1129" s="0" t="s">
        <v>4491</v>
      </c>
      <c r="I1129" s="0" t="s">
        <v>615</v>
      </c>
      <c r="J1129" s="0" t="s">
        <v>615</v>
      </c>
      <c r="K1129" s="0" t="s">
        <v>3474</v>
      </c>
      <c r="L1129" s="0" t="s">
        <v>32</v>
      </c>
      <c r="M1129" s="0" t="s">
        <v>33</v>
      </c>
      <c r="N1129" s="0" t="s">
        <v>35</v>
      </c>
      <c r="O1129" s="0" t="s">
        <v>35</v>
      </c>
      <c r="P1129" s="0" t="s">
        <v>39</v>
      </c>
      <c r="Q1129" s="0" t="s">
        <v>3475</v>
      </c>
      <c r="R1129" s="0" t="s">
        <v>4492</v>
      </c>
      <c r="S1129" s="0" t="s">
        <v>35</v>
      </c>
      <c r="T1129" s="0">
        <f>HYPERLINK("https://storage.sslt.ae/ItemVariation/08DCFA79-01AE-452E-8E8B-1E36ED51371E/6ABC45F0-B0B4-431D-BA0C-53427DA2B284.png","Variant Image")</f>
      </c>
      <c r="U1129" s="0">
        <f>HYPERLINK("https://ec-qa-storage.kldlms.com/Item/08DCFA79-01AE-452E-8E8B-1E36ED51371E/A5FB4B73-B523-429E-9255-32AA364E4805.png","Thumbnail Image")</f>
      </c>
      <c r="V1129" s="0">
        <f>HYPERLINK("https://ec-qa-storage.kldlms.com/ItemGallery/08DCFA79-01AE-452E-8E8B-1E36ED51371E/C83DF49E-E5A5-44B9-92C8-E2138886D5CE.png","Gallery Image ")</f>
      </c>
      <c r="W1129" s="0" t="s">
        <v>22</v>
      </c>
      <c r="X1129" s="0" t="s">
        <v>4493</v>
      </c>
    </row>
    <row r="1130">
      <c r="A1130" s="0" t="s">
        <v>4494</v>
      </c>
      <c r="B1130" s="0" t="s">
        <v>4494</v>
      </c>
      <c r="C1130" s="0" t="s">
        <v>4495</v>
      </c>
      <c r="D1130" s="0" t="s">
        <v>27</v>
      </c>
      <c r="E1130" s="0" t="s">
        <v>79</v>
      </c>
      <c r="F1130" s="0" t="s">
        <v>3120</v>
      </c>
      <c r="G1130" s="0" t="s">
        <v>4494</v>
      </c>
      <c r="H1130" s="0" t="s">
        <v>4494</v>
      </c>
      <c r="I1130" s="0" t="s">
        <v>615</v>
      </c>
      <c r="J1130" s="0" t="s">
        <v>615</v>
      </c>
      <c r="K1130" s="0" t="s">
        <v>3046</v>
      </c>
      <c r="L1130" s="0" t="s">
        <v>32</v>
      </c>
      <c r="M1130" s="0" t="s">
        <v>33</v>
      </c>
      <c r="N1130" s="0" t="s">
        <v>4496</v>
      </c>
      <c r="O1130" s="0" t="s">
        <v>35</v>
      </c>
      <c r="P1130" s="0" t="s">
        <v>39</v>
      </c>
      <c r="Q1130" s="0" t="s">
        <v>3048</v>
      </c>
      <c r="R1130" s="0" t="s">
        <v>4495</v>
      </c>
      <c r="S1130" s="0" t="s">
        <v>4496</v>
      </c>
      <c r="T1130" s="0">
        <f>HYPERLINK("https://storage.sslt.ae/ItemVariation/08DCFA79-020B-46C2-8C2A-2F4A5E1382D1/10FC6601-27A9-4239-A03F-BB99FFB0F6C3.png","Variant Image")</f>
      </c>
      <c r="U1130" s="0">
        <f>HYPERLINK("https://ec-qa-storage.kldlms.com/Item/08DCFA79-020B-46C2-8C2A-2F4A5E1382D1/BF537FB4-479E-41F9-A011-23B07B142A99.png","Thumbnail Image")</f>
      </c>
      <c r="V1130" s="0">
        <f>HYPERLINK("https://ec-qa-storage.kldlms.com/ItemGallery/08DCFA79-020B-46C2-8C2A-2F4A5E1382D1/DCFFEFCA-1FFC-4CE9-B5FA-47C6E0CAA13A.png","Gallery Image ")</f>
      </c>
      <c r="W1130" s="0" t="s">
        <v>22</v>
      </c>
      <c r="X1130" s="0" t="s">
        <v>4497</v>
      </c>
    </row>
    <row r="1131">
      <c r="A1131" s="0" t="s">
        <v>4498</v>
      </c>
      <c r="B1131" s="0" t="s">
        <v>4498</v>
      </c>
      <c r="C1131" s="0" t="s">
        <v>4499</v>
      </c>
      <c r="D1131" s="0" t="s">
        <v>27</v>
      </c>
      <c r="E1131" s="0" t="s">
        <v>4450</v>
      </c>
      <c r="F1131" s="0" t="s">
        <v>3120</v>
      </c>
      <c r="G1131" s="0" t="s">
        <v>4498</v>
      </c>
      <c r="H1131" s="0" t="s">
        <v>4498</v>
      </c>
      <c r="I1131" s="0" t="s">
        <v>615</v>
      </c>
      <c r="J1131" s="0" t="s">
        <v>615</v>
      </c>
      <c r="K1131" s="0" t="s">
        <v>2211</v>
      </c>
      <c r="L1131" s="0" t="s">
        <v>32</v>
      </c>
      <c r="M1131" s="0" t="s">
        <v>33</v>
      </c>
      <c r="N1131" s="0" t="s">
        <v>2185</v>
      </c>
      <c r="O1131" s="0" t="s">
        <v>35</v>
      </c>
      <c r="P1131" s="0" t="s">
        <v>39</v>
      </c>
      <c r="Q1131" s="0" t="s">
        <v>3850</v>
      </c>
      <c r="R1131" s="0" t="s">
        <v>4499</v>
      </c>
      <c r="S1131" s="0" t="s">
        <v>2185</v>
      </c>
      <c r="T1131" s="0">
        <f>HYPERLINK("https://storage.sslt.ae/ItemVariation/08DCFA79-0267-4201-8C59-6FF2F5618501/A068B722-0755-4E3B-B2FF-38BDC45B5F76.png","Variant Image")</f>
      </c>
      <c r="U1131" s="0">
        <f>HYPERLINK("https://ec-qa-storage.kldlms.com/Item/08DCFA79-0267-4201-8C59-6FF2F5618501/8B6B902F-6761-4A6A-8A47-6E8B314E4F65.png","Thumbnail Image")</f>
      </c>
      <c r="V1131" s="0">
        <f>HYPERLINK("https://ec-qa-storage.kldlms.com/ItemGallery/08DCFA79-0267-4201-8C59-6FF2F5618501/4C8A5407-B17B-41F0-B450-2A6325E6BA11.png","Gallery Image ")</f>
      </c>
      <c r="W1131" s="0" t="s">
        <v>22</v>
      </c>
      <c r="X1131" s="0" t="s">
        <v>4500</v>
      </c>
    </row>
    <row r="1132">
      <c r="A1132" s="0" t="s">
        <v>4501</v>
      </c>
      <c r="B1132" s="0" t="s">
        <v>4501</v>
      </c>
      <c r="C1132" s="0" t="s">
        <v>4502</v>
      </c>
      <c r="D1132" s="0" t="s">
        <v>27</v>
      </c>
      <c r="E1132" s="0" t="s">
        <v>4450</v>
      </c>
      <c r="F1132" s="0" t="s">
        <v>3120</v>
      </c>
      <c r="G1132" s="0" t="s">
        <v>4501</v>
      </c>
      <c r="H1132" s="0" t="s">
        <v>4501</v>
      </c>
      <c r="I1132" s="0" t="s">
        <v>3978</v>
      </c>
      <c r="J1132" s="0" t="s">
        <v>3978</v>
      </c>
      <c r="K1132" s="0" t="s">
        <v>2304</v>
      </c>
      <c r="L1132" s="0" t="s">
        <v>32</v>
      </c>
      <c r="M1132" s="0" t="s">
        <v>33</v>
      </c>
      <c r="N1132" s="0" t="s">
        <v>4503</v>
      </c>
      <c r="O1132" s="0" t="s">
        <v>35</v>
      </c>
      <c r="P1132" s="0" t="s">
        <v>39</v>
      </c>
      <c r="Q1132" s="0" t="s">
        <v>2306</v>
      </c>
      <c r="R1132" s="0" t="s">
        <v>4502</v>
      </c>
      <c r="S1132" s="0" t="s">
        <v>4503</v>
      </c>
      <c r="T1132" s="0">
        <f>HYPERLINK("https://storage.sslt.ae/ItemVariation/08DCFA79-02C3-4931-817A-B4055DF26661/234C41E4-60CD-4F94-BD04-9959E9333851.png","Variant Image")</f>
      </c>
      <c r="U1132" s="0">
        <f>HYPERLINK("https://ec-qa-storage.kldlms.com/Item/08DCFA79-02C3-4931-817A-B4055DF26661/BA81841B-9676-40BB-80C4-B8E9EE1CB779.png","Thumbnail Image")</f>
      </c>
      <c r="V1132" s="0">
        <f>HYPERLINK("https://ec-qa-storage.kldlms.com/ItemGallery/08DCFA79-02C3-4931-817A-B4055DF26661/BD9E3284-76EC-44D9-A9D0-8D2DC4F31AAB.png","Gallery Image ")</f>
      </c>
      <c r="W1132" s="0" t="s">
        <v>22</v>
      </c>
      <c r="X1132" s="0" t="s">
        <v>4504</v>
      </c>
    </row>
    <row r="1133">
      <c r="A1133" s="0" t="s">
        <v>4505</v>
      </c>
      <c r="B1133" s="0" t="s">
        <v>4505</v>
      </c>
      <c r="C1133" s="0" t="s">
        <v>4506</v>
      </c>
      <c r="D1133" s="0" t="s">
        <v>27</v>
      </c>
      <c r="E1133" s="0" t="s">
        <v>4450</v>
      </c>
      <c r="F1133" s="0" t="s">
        <v>3120</v>
      </c>
      <c r="G1133" s="0" t="s">
        <v>4505</v>
      </c>
      <c r="H1133" s="0" t="s">
        <v>4505</v>
      </c>
      <c r="I1133" s="0" t="s">
        <v>615</v>
      </c>
      <c r="J1133" s="0" t="s">
        <v>615</v>
      </c>
      <c r="K1133" s="0" t="s">
        <v>4507</v>
      </c>
      <c r="L1133" s="0" t="s">
        <v>32</v>
      </c>
      <c r="M1133" s="0" t="s">
        <v>33</v>
      </c>
      <c r="N1133" s="0" t="s">
        <v>337</v>
      </c>
      <c r="O1133" s="0" t="s">
        <v>35</v>
      </c>
      <c r="P1133" s="0" t="s">
        <v>39</v>
      </c>
      <c r="Q1133" s="0" t="s">
        <v>4508</v>
      </c>
      <c r="R1133" s="0" t="s">
        <v>4506</v>
      </c>
      <c r="S1133" s="0" t="s">
        <v>337</v>
      </c>
      <c r="T1133" s="0">
        <f>HYPERLINK("https://storage.sslt.ae/ItemVariation/08DCFA79-031F-4557-8CC4-61FA7D67E447/90CDA692-BAE7-489B-8FC7-1DAD806725B3.png","Variant Image")</f>
      </c>
      <c r="U1133" s="0">
        <f>HYPERLINK("https://ec-qa-storage.kldlms.com/Item/08DCFA79-031F-4557-8CC4-61FA7D67E447/90DC0BD1-BAEA-43E1-B62A-BED6EF02AC90.png","Thumbnail Image")</f>
      </c>
      <c r="V1133" s="0">
        <f>HYPERLINK("https://ec-qa-storage.kldlms.com/ItemGallery/08DCFA79-031F-4557-8CC4-61FA7D67E447/8F83EF23-9292-45FD-B585-7FFE04EC6853.png","Gallery Image ")</f>
      </c>
      <c r="W1133" s="0" t="s">
        <v>22</v>
      </c>
      <c r="X1133" s="0" t="s">
        <v>4509</v>
      </c>
    </row>
    <row r="1134">
      <c r="A1134" s="0" t="s">
        <v>4510</v>
      </c>
      <c r="B1134" s="0" t="s">
        <v>4510</v>
      </c>
      <c r="C1134" s="0" t="s">
        <v>4511</v>
      </c>
      <c r="D1134" s="0" t="s">
        <v>27</v>
      </c>
      <c r="E1134" s="0" t="s">
        <v>4450</v>
      </c>
      <c r="F1134" s="0" t="s">
        <v>3120</v>
      </c>
      <c r="G1134" s="0" t="s">
        <v>4510</v>
      </c>
      <c r="H1134" s="0" t="s">
        <v>4510</v>
      </c>
      <c r="I1134" s="0" t="s">
        <v>615</v>
      </c>
      <c r="J1134" s="0" t="s">
        <v>615</v>
      </c>
      <c r="K1134" s="0" t="s">
        <v>4512</v>
      </c>
      <c r="L1134" s="0" t="s">
        <v>32</v>
      </c>
      <c r="M1134" s="0" t="s">
        <v>33</v>
      </c>
      <c r="N1134" s="0" t="s">
        <v>4513</v>
      </c>
      <c r="O1134" s="0" t="s">
        <v>35</v>
      </c>
      <c r="P1134" s="0" t="s">
        <v>39</v>
      </c>
      <c r="Q1134" s="0" t="s">
        <v>4514</v>
      </c>
      <c r="R1134" s="0" t="s">
        <v>4511</v>
      </c>
      <c r="S1134" s="0" t="s">
        <v>4513</v>
      </c>
      <c r="T1134" s="0">
        <f>HYPERLINK("https://storage.sslt.ae/ItemVariation/08DCFA79-037B-4B24-807F-62977BB82392/0458C994-71AA-462A-9AED-1CFB3C229D5E.png","Variant Image")</f>
      </c>
      <c r="U1134" s="0">
        <f>HYPERLINK("https://ec-qa-storage.kldlms.com/Item/08DCFA79-037B-4B24-807F-62977BB82392/D8415218-7B60-4C70-AB9B-9C22D3032956.png","Thumbnail Image")</f>
      </c>
      <c r="V1134" s="0">
        <f>HYPERLINK("https://ec-qa-storage.kldlms.com/ItemGallery/08DCFA79-037B-4B24-807F-62977BB82392/FF45AB22-4A24-4909-B4D2-2B2AE5ADB0A6.png","Gallery Image ")</f>
      </c>
      <c r="W1134" s="0" t="s">
        <v>22</v>
      </c>
      <c r="X1134" s="0" t="s">
        <v>4515</v>
      </c>
    </row>
    <row r="1135">
      <c r="A1135" s="0" t="s">
        <v>4516</v>
      </c>
      <c r="B1135" s="0" t="s">
        <v>4516</v>
      </c>
      <c r="C1135" s="0" t="s">
        <v>4517</v>
      </c>
      <c r="D1135" s="0" t="s">
        <v>27</v>
      </c>
      <c r="E1135" s="0" t="s">
        <v>4450</v>
      </c>
      <c r="F1135" s="0" t="s">
        <v>3120</v>
      </c>
      <c r="G1135" s="0" t="s">
        <v>4516</v>
      </c>
      <c r="H1135" s="0" t="s">
        <v>4516</v>
      </c>
      <c r="I1135" s="0" t="s">
        <v>615</v>
      </c>
      <c r="J1135" s="0" t="s">
        <v>615</v>
      </c>
      <c r="K1135" s="0" t="s">
        <v>4518</v>
      </c>
      <c r="L1135" s="0" t="s">
        <v>32</v>
      </c>
      <c r="M1135" s="0" t="s">
        <v>33</v>
      </c>
      <c r="N1135" s="0" t="s">
        <v>276</v>
      </c>
      <c r="O1135" s="0" t="s">
        <v>35</v>
      </c>
      <c r="P1135" s="0" t="s">
        <v>39</v>
      </c>
      <c r="Q1135" s="0" t="s">
        <v>4519</v>
      </c>
      <c r="R1135" s="0" t="s">
        <v>4517</v>
      </c>
      <c r="S1135" s="0" t="s">
        <v>276</v>
      </c>
      <c r="T1135" s="0">
        <f>HYPERLINK("https://storage.sslt.ae/ItemVariation/08DCFA79-03D8-40AE-87AF-E37E6DA12BB2/E0311678-4FC1-4CFC-BF63-BD641A80984C.png","Variant Image")</f>
      </c>
      <c r="U1135" s="0">
        <f>HYPERLINK("https://ec-qa-storage.kldlms.com/Item/08DCFA79-03D8-40AE-87AF-E37E6DA12BB2/210406A8-7D9E-4BE5-A914-021D94F7614A.png","Thumbnail Image")</f>
      </c>
      <c r="V1135" s="0">
        <f>HYPERLINK("https://ec-qa-storage.kldlms.com/ItemGallery/08DCFA79-03D8-40AE-87AF-E37E6DA12BB2/2838320C-EC55-4B16-AB36-289038A6970B.png","Gallery Image ")</f>
      </c>
      <c r="W1135" s="0" t="s">
        <v>22</v>
      </c>
      <c r="X1135" s="0" t="s">
        <v>4520</v>
      </c>
    </row>
    <row r="1136">
      <c r="A1136" s="0" t="s">
        <v>4521</v>
      </c>
      <c r="B1136" s="0" t="s">
        <v>4521</v>
      </c>
      <c r="C1136" s="0" t="s">
        <v>4522</v>
      </c>
      <c r="D1136" s="0" t="s">
        <v>27</v>
      </c>
      <c r="E1136" s="0" t="s">
        <v>4450</v>
      </c>
      <c r="F1136" s="0" t="s">
        <v>3120</v>
      </c>
      <c r="G1136" s="0" t="s">
        <v>4521</v>
      </c>
      <c r="H1136" s="0" t="s">
        <v>4521</v>
      </c>
      <c r="I1136" s="0" t="s">
        <v>615</v>
      </c>
      <c r="J1136" s="0" t="s">
        <v>615</v>
      </c>
      <c r="K1136" s="0" t="s">
        <v>4523</v>
      </c>
      <c r="L1136" s="0" t="s">
        <v>32</v>
      </c>
      <c r="M1136" s="0" t="s">
        <v>33</v>
      </c>
      <c r="N1136" s="0" t="s">
        <v>100</v>
      </c>
      <c r="O1136" s="0" t="s">
        <v>35</v>
      </c>
      <c r="P1136" s="0" t="s">
        <v>39</v>
      </c>
      <c r="Q1136" s="0" t="s">
        <v>4524</v>
      </c>
      <c r="R1136" s="0" t="s">
        <v>4522</v>
      </c>
      <c r="S1136" s="0" t="s">
        <v>100</v>
      </c>
      <c r="T1136" s="0">
        <f>HYPERLINK("https://storage.sslt.ae/ItemVariation/08DCFA79-0432-4DF6-8B8A-DBDA533DE1C1/7B865572-AD5B-4F35-B316-73EF008305FA.png","Variant Image")</f>
      </c>
      <c r="U1136" s="0">
        <f>HYPERLINK("https://ec-qa-storage.kldlms.com/Item/08DCFA79-0432-4DF6-8B8A-DBDA533DE1C1/178C9DBE-DE0F-460F-8985-56CD704EC153.png","Thumbnail Image")</f>
      </c>
      <c r="V1136" s="0">
        <f>HYPERLINK("https://ec-qa-storage.kldlms.com/ItemGallery/08DCFA79-0432-4DF6-8B8A-DBDA533DE1C1/286AA28A-E2AB-4570-80AD-1297DCFF6E43.png","Gallery Image ")</f>
      </c>
      <c r="W1136" s="0" t="s">
        <v>22</v>
      </c>
      <c r="X1136" s="0" t="s">
        <v>4525</v>
      </c>
    </row>
    <row r="1137">
      <c r="A1137" s="0" t="s">
        <v>4526</v>
      </c>
      <c r="B1137" s="0" t="s">
        <v>4526</v>
      </c>
      <c r="C1137" s="0" t="s">
        <v>4527</v>
      </c>
      <c r="D1137" s="0" t="s">
        <v>27</v>
      </c>
      <c r="E1137" s="0" t="s">
        <v>4450</v>
      </c>
      <c r="F1137" s="0" t="s">
        <v>3120</v>
      </c>
      <c r="G1137" s="0" t="s">
        <v>4526</v>
      </c>
      <c r="H1137" s="0" t="s">
        <v>4526</v>
      </c>
      <c r="I1137" s="0" t="s">
        <v>615</v>
      </c>
      <c r="J1137" s="0" t="s">
        <v>615</v>
      </c>
      <c r="K1137" s="0" t="s">
        <v>4528</v>
      </c>
      <c r="L1137" s="0" t="s">
        <v>32</v>
      </c>
      <c r="M1137" s="0" t="s">
        <v>33</v>
      </c>
      <c r="N1137" s="0" t="s">
        <v>245</v>
      </c>
      <c r="O1137" s="0" t="s">
        <v>35</v>
      </c>
      <c r="P1137" s="0" t="s">
        <v>39</v>
      </c>
      <c r="Q1137" s="0" t="s">
        <v>4529</v>
      </c>
      <c r="R1137" s="0" t="s">
        <v>4527</v>
      </c>
      <c r="S1137" s="0" t="s">
        <v>245</v>
      </c>
      <c r="T1137" s="0">
        <f>HYPERLINK("https://storage.sslt.ae/ItemVariation/08DCFA79-048F-45AA-8947-9363216BF1F2/41828D89-0B1A-4BED-8F7A-BD68C30A959F.png","Variant Image")</f>
      </c>
      <c r="U1137" s="0">
        <f>HYPERLINK("https://ec-qa-storage.kldlms.com/Item/08DCFA79-048F-45AA-8947-9363216BF1F2/DB581B24-7534-4147-A929-0392C889D3C7.png","Thumbnail Image")</f>
      </c>
      <c r="V1137" s="0">
        <f>HYPERLINK("https://ec-qa-storage.kldlms.com/ItemGallery/08DCFA79-048F-45AA-8947-9363216BF1F2/40F2D036-B386-4723-BFFA-E3C4A415A66C.png","Gallery Image ")</f>
      </c>
      <c r="W1137" s="0" t="s">
        <v>22</v>
      </c>
      <c r="X1137" s="0" t="s">
        <v>4530</v>
      </c>
    </row>
    <row r="1138">
      <c r="A1138" s="0" t="s">
        <v>4531</v>
      </c>
      <c r="B1138" s="0" t="s">
        <v>4531</v>
      </c>
      <c r="C1138" s="0" t="s">
        <v>4532</v>
      </c>
      <c r="D1138" s="0" t="s">
        <v>27</v>
      </c>
      <c r="E1138" s="0" t="s">
        <v>4450</v>
      </c>
      <c r="F1138" s="0" t="s">
        <v>3120</v>
      </c>
      <c r="G1138" s="0" t="s">
        <v>4531</v>
      </c>
      <c r="H1138" s="0" t="s">
        <v>4531</v>
      </c>
      <c r="I1138" s="0" t="s">
        <v>615</v>
      </c>
      <c r="J1138" s="0" t="s">
        <v>615</v>
      </c>
      <c r="K1138" s="0" t="s">
        <v>4533</v>
      </c>
      <c r="L1138" s="0" t="s">
        <v>32</v>
      </c>
      <c r="M1138" s="0" t="s">
        <v>33</v>
      </c>
      <c r="N1138" s="0" t="s">
        <v>276</v>
      </c>
      <c r="O1138" s="0" t="s">
        <v>35</v>
      </c>
      <c r="P1138" s="0" t="s">
        <v>39</v>
      </c>
      <c r="Q1138" s="0" t="s">
        <v>4534</v>
      </c>
      <c r="R1138" s="0" t="s">
        <v>4532</v>
      </c>
      <c r="S1138" s="0" t="s">
        <v>276</v>
      </c>
      <c r="T1138" s="0">
        <f>HYPERLINK("https://storage.sslt.ae/ItemVariation/08DCFA79-04EB-4103-865A-2DCE99F728F3/94EB9FDA-5753-42B8-BC1B-93F63523EA4C.png","Variant Image")</f>
      </c>
      <c r="U1138" s="0">
        <f>HYPERLINK("https://ec-qa-storage.kldlms.com/Item/08DCFA79-04EB-4103-865A-2DCE99F728F3/B5B0628E-D0CD-4187-B492-59C89E05B07C.png","Thumbnail Image")</f>
      </c>
      <c r="V1138" s="0">
        <f>HYPERLINK("https://ec-qa-storage.kldlms.com/ItemGallery/08DCFA79-04EB-4103-865A-2DCE99F728F3/345A3032-D78F-4F85-8EFF-A8C340136F45.png","Gallery Image ")</f>
      </c>
      <c r="W1138" s="0" t="s">
        <v>22</v>
      </c>
      <c r="X1138" s="0" t="s">
        <v>4535</v>
      </c>
    </row>
    <row r="1139">
      <c r="A1139" s="0" t="s">
        <v>4536</v>
      </c>
      <c r="B1139" s="0" t="s">
        <v>4536</v>
      </c>
      <c r="C1139" s="0" t="s">
        <v>4537</v>
      </c>
      <c r="D1139" s="0" t="s">
        <v>27</v>
      </c>
      <c r="E1139" s="0" t="s">
        <v>4450</v>
      </c>
      <c r="F1139" s="0" t="s">
        <v>3120</v>
      </c>
      <c r="G1139" s="0" t="s">
        <v>4536</v>
      </c>
      <c r="H1139" s="0" t="s">
        <v>4536</v>
      </c>
      <c r="I1139" s="0" t="s">
        <v>615</v>
      </c>
      <c r="J1139" s="0" t="s">
        <v>615</v>
      </c>
      <c r="K1139" s="0" t="s">
        <v>4538</v>
      </c>
      <c r="L1139" s="0" t="s">
        <v>32</v>
      </c>
      <c r="M1139" s="0" t="s">
        <v>33</v>
      </c>
      <c r="N1139" s="0" t="s">
        <v>337</v>
      </c>
      <c r="O1139" s="0" t="s">
        <v>35</v>
      </c>
      <c r="P1139" s="0" t="s">
        <v>39</v>
      </c>
      <c r="Q1139" s="0" t="s">
        <v>4539</v>
      </c>
      <c r="R1139" s="0" t="s">
        <v>4537</v>
      </c>
      <c r="S1139" s="0" t="s">
        <v>337</v>
      </c>
      <c r="T1139" s="0">
        <f>HYPERLINK("https://storage.sslt.ae/ItemVariation/08DCFA79-05C2-43D9-8239-55DDFA963DCE/1BB4F7BE-442C-403F-ABF8-8F94608D7A39.png","Variant Image")</f>
      </c>
      <c r="U1139" s="0">
        <f>HYPERLINK("https://ec-qa-storage.kldlms.com/Item/08DCFA79-05C2-43D9-8239-55DDFA963DCE/E4AD88BE-4688-480F-9FDC-55D742C7D3D7.png","Thumbnail Image")</f>
      </c>
      <c r="V1139" s="0">
        <f>HYPERLINK("https://ec-qa-storage.kldlms.com/ItemGallery/08DCFA79-05C2-43D9-8239-55DDFA963DCE/A16A9EE8-F2D4-4E28-A6AE-6C8AE4C5166D.png","Gallery Image ")</f>
      </c>
      <c r="W1139" s="0" t="s">
        <v>22</v>
      </c>
      <c r="X1139" s="0" t="s">
        <v>4540</v>
      </c>
    </row>
    <row r="1140">
      <c r="A1140" s="0" t="s">
        <v>4541</v>
      </c>
      <c r="B1140" s="0" t="s">
        <v>4541</v>
      </c>
      <c r="C1140" s="0" t="s">
        <v>4542</v>
      </c>
      <c r="D1140" s="0" t="s">
        <v>27</v>
      </c>
      <c r="E1140" s="0" t="s">
        <v>4450</v>
      </c>
      <c r="F1140" s="0" t="s">
        <v>3120</v>
      </c>
      <c r="G1140" s="0" t="s">
        <v>4541</v>
      </c>
      <c r="H1140" s="0" t="s">
        <v>4541</v>
      </c>
      <c r="I1140" s="0" t="s">
        <v>615</v>
      </c>
      <c r="J1140" s="0" t="s">
        <v>615</v>
      </c>
      <c r="K1140" s="0" t="s">
        <v>4543</v>
      </c>
      <c r="L1140" s="0" t="s">
        <v>32</v>
      </c>
      <c r="M1140" s="0" t="s">
        <v>33</v>
      </c>
      <c r="N1140" s="0" t="s">
        <v>866</v>
      </c>
      <c r="O1140" s="0" t="s">
        <v>35</v>
      </c>
      <c r="P1140" s="0" t="s">
        <v>39</v>
      </c>
      <c r="Q1140" s="0" t="s">
        <v>4544</v>
      </c>
      <c r="R1140" s="0" t="s">
        <v>4542</v>
      </c>
      <c r="S1140" s="0" t="s">
        <v>866</v>
      </c>
      <c r="T1140" s="0">
        <f>HYPERLINK("https://storage.sslt.ae/ItemVariation/08DCFA79-061E-4A41-8D67-7AEC77F31B66/0ABABFB8-ABCE-4F16-8BE1-878B5124AF24.png","Variant Image")</f>
      </c>
      <c r="U1140" s="0">
        <f>HYPERLINK("https://ec-qa-storage.kldlms.com/Item/08DCFA79-061E-4A41-8D67-7AEC77F31B66/A7B318E0-F9B9-4EAB-960C-B52EA26E7809.png","Thumbnail Image")</f>
      </c>
      <c r="V1140" s="0">
        <f>HYPERLINK("https://ec-qa-storage.kldlms.com/ItemGallery/08DCFA79-061E-4A41-8D67-7AEC77F31B66/57CA199F-7E4D-49D1-8EFD-994AAACFB769.png","Gallery Image ")</f>
      </c>
      <c r="W1140" s="0" t="s">
        <v>22</v>
      </c>
      <c r="X1140" s="0" t="s">
        <v>4545</v>
      </c>
    </row>
    <row r="1141">
      <c r="A1141" s="0" t="s">
        <v>4546</v>
      </c>
      <c r="B1141" s="0" t="s">
        <v>4546</v>
      </c>
      <c r="C1141" s="0" t="s">
        <v>4547</v>
      </c>
      <c r="D1141" s="0" t="s">
        <v>27</v>
      </c>
      <c r="E1141" s="0" t="s">
        <v>4450</v>
      </c>
      <c r="F1141" s="0" t="s">
        <v>3120</v>
      </c>
      <c r="G1141" s="0" t="s">
        <v>4546</v>
      </c>
      <c r="H1141" s="0" t="s">
        <v>4546</v>
      </c>
      <c r="I1141" s="0" t="s">
        <v>615</v>
      </c>
      <c r="J1141" s="0" t="s">
        <v>615</v>
      </c>
      <c r="K1141" s="0" t="s">
        <v>3040</v>
      </c>
      <c r="L1141" s="0" t="s">
        <v>32</v>
      </c>
      <c r="M1141" s="0" t="s">
        <v>33</v>
      </c>
      <c r="N1141" s="0" t="s">
        <v>3856</v>
      </c>
      <c r="O1141" s="0" t="s">
        <v>35</v>
      </c>
      <c r="P1141" s="0" t="s">
        <v>39</v>
      </c>
      <c r="Q1141" s="0" t="s">
        <v>3041</v>
      </c>
      <c r="R1141" s="0" t="s">
        <v>4547</v>
      </c>
      <c r="S1141" s="0" t="s">
        <v>3856</v>
      </c>
      <c r="T1141" s="0">
        <f>HYPERLINK("https://storage.sslt.ae/ItemVariation/08DCFA79-067A-411F-8DA1-65E8349F6EAD/4F2EDDE4-1589-4FEB-8FB3-126419AE9637.png","Variant Image")</f>
      </c>
      <c r="U1141" s="0">
        <f>HYPERLINK("https://ec-qa-storage.kldlms.com/Item/08DCFA79-067A-411F-8DA1-65E8349F6EAD/3955B2AE-EC5F-4629-BA3C-39299782E599.png","Thumbnail Image")</f>
      </c>
      <c r="V1141" s="0">
        <f>HYPERLINK("https://ec-qa-storage.kldlms.com/ItemGallery/08DCFA79-067A-411F-8DA1-65E8349F6EAD/AB025F4A-112B-4E59-984A-7CE30C585B2E.png","Gallery Image ")</f>
      </c>
      <c r="W1141" s="0" t="s">
        <v>22</v>
      </c>
      <c r="X1141" s="0" t="s">
        <v>4548</v>
      </c>
    </row>
    <row r="1142">
      <c r="A1142" s="0" t="s">
        <v>4549</v>
      </c>
      <c r="B1142" s="0" t="s">
        <v>4549</v>
      </c>
      <c r="C1142" s="0" t="s">
        <v>4550</v>
      </c>
      <c r="D1142" s="0" t="s">
        <v>27</v>
      </c>
      <c r="E1142" s="0" t="s">
        <v>4450</v>
      </c>
      <c r="F1142" s="0" t="s">
        <v>3120</v>
      </c>
      <c r="G1142" s="0" t="s">
        <v>4549</v>
      </c>
      <c r="H1142" s="0" t="s">
        <v>4549</v>
      </c>
      <c r="I1142" s="0" t="s">
        <v>615</v>
      </c>
      <c r="J1142" s="0" t="s">
        <v>615</v>
      </c>
      <c r="K1142" s="0" t="s">
        <v>4551</v>
      </c>
      <c r="L1142" s="0" t="s">
        <v>32</v>
      </c>
      <c r="M1142" s="0" t="s">
        <v>33</v>
      </c>
      <c r="N1142" s="0" t="s">
        <v>35</v>
      </c>
      <c r="O1142" s="0" t="s">
        <v>35</v>
      </c>
      <c r="P1142" s="0" t="s">
        <v>39</v>
      </c>
      <c r="Q1142" s="0" t="s">
        <v>4552</v>
      </c>
      <c r="R1142" s="0" t="s">
        <v>4550</v>
      </c>
      <c r="S1142" s="0" t="s">
        <v>35</v>
      </c>
      <c r="T1142" s="0">
        <f>HYPERLINK("https://storage.sslt.ae/ItemVariation/08DCFA79-06D6-4BD0-839A-6B082B3EE4C3/0150F2F7-4426-4D67-BCB3-08627ADBD80D.png","Variant Image")</f>
      </c>
      <c r="U1142" s="0">
        <f>HYPERLINK("https://ec-qa-storage.kldlms.com/Item/08DCFA79-06D6-4BD0-839A-6B082B3EE4C3/B99DA47F-81D9-4C32-96C0-ABF30498B63C.png","Thumbnail Image")</f>
      </c>
      <c r="V1142" s="0">
        <f>HYPERLINK("https://ec-qa-storage.kldlms.com/ItemGallery/08DCFA79-06D6-4BD0-839A-6B082B3EE4C3/546932D7-F115-476F-A6CF-4D784FBA7BC9.png","Gallery Image ")</f>
      </c>
      <c r="W1142" s="0" t="s">
        <v>22</v>
      </c>
      <c r="X1142" s="0" t="s">
        <v>4553</v>
      </c>
    </row>
    <row r="1143">
      <c r="A1143" s="0" t="s">
        <v>4554</v>
      </c>
      <c r="B1143" s="0" t="s">
        <v>4554</v>
      </c>
      <c r="C1143" s="0" t="s">
        <v>4555</v>
      </c>
      <c r="D1143" s="0" t="s">
        <v>27</v>
      </c>
      <c r="E1143" s="0" t="s">
        <v>4450</v>
      </c>
      <c r="F1143" s="0" t="s">
        <v>3120</v>
      </c>
      <c r="G1143" s="0" t="s">
        <v>4554</v>
      </c>
      <c r="H1143" s="0" t="s">
        <v>4554</v>
      </c>
      <c r="I1143" s="0" t="s">
        <v>615</v>
      </c>
      <c r="J1143" s="0" t="s">
        <v>615</v>
      </c>
      <c r="K1143" s="0" t="s">
        <v>4556</v>
      </c>
      <c r="L1143" s="0" t="s">
        <v>32</v>
      </c>
      <c r="M1143" s="0" t="s">
        <v>33</v>
      </c>
      <c r="N1143" s="0" t="s">
        <v>1098</v>
      </c>
      <c r="O1143" s="0" t="s">
        <v>35</v>
      </c>
      <c r="P1143" s="0" t="s">
        <v>39</v>
      </c>
      <c r="Q1143" s="0" t="s">
        <v>4557</v>
      </c>
      <c r="R1143" s="0" t="s">
        <v>4555</v>
      </c>
      <c r="S1143" s="0" t="s">
        <v>1098</v>
      </c>
      <c r="T1143" s="0">
        <f>HYPERLINK("https://storage.sslt.ae/ItemVariation/08DCFA79-0743-44CE-8B10-2E7005C1DD59/0D6CCADC-CCD9-4E33-8EB2-97BC6FE2FCF4.png","Variant Image")</f>
      </c>
      <c r="U1143" s="0">
        <f>HYPERLINK("https://ec-qa-storage.kldlms.com/Item/08DCFA79-0743-44CE-8B10-2E7005C1DD59/37C904B1-5563-40A0-9B61-2F18564923F9.png","Thumbnail Image")</f>
      </c>
      <c r="V1143" s="0">
        <f>HYPERLINK("https://ec-qa-storage.kldlms.com/ItemGallery/08DCFA79-0743-44CE-8B10-2E7005C1DD59/BA9A60EF-B9E7-4BAF-A3F5-9763A2227534.png","Gallery Image ")</f>
      </c>
      <c r="W1143" s="0" t="s">
        <v>22</v>
      </c>
      <c r="X1143" s="0" t="s">
        <v>4558</v>
      </c>
    </row>
    <row r="1144">
      <c r="A1144" s="0" t="s">
        <v>4559</v>
      </c>
      <c r="B1144" s="0" t="s">
        <v>4559</v>
      </c>
      <c r="C1144" s="0" t="s">
        <v>4560</v>
      </c>
      <c r="D1144" s="0" t="s">
        <v>27</v>
      </c>
      <c r="E1144" s="0" t="s">
        <v>4450</v>
      </c>
      <c r="F1144" s="0" t="s">
        <v>3120</v>
      </c>
      <c r="G1144" s="0" t="s">
        <v>4559</v>
      </c>
      <c r="H1144" s="0" t="s">
        <v>4559</v>
      </c>
      <c r="I1144" s="0" t="s">
        <v>615</v>
      </c>
      <c r="J1144" s="0" t="s">
        <v>615</v>
      </c>
      <c r="K1144" s="0" t="s">
        <v>4561</v>
      </c>
      <c r="L1144" s="0" t="s">
        <v>32</v>
      </c>
      <c r="M1144" s="0" t="s">
        <v>33</v>
      </c>
      <c r="N1144" s="0" t="s">
        <v>276</v>
      </c>
      <c r="O1144" s="0" t="s">
        <v>35</v>
      </c>
      <c r="P1144" s="0" t="s">
        <v>39</v>
      </c>
      <c r="Q1144" s="0" t="s">
        <v>4562</v>
      </c>
      <c r="R1144" s="0" t="s">
        <v>4560</v>
      </c>
      <c r="S1144" s="0" t="s">
        <v>276</v>
      </c>
      <c r="T1144" s="0">
        <f>HYPERLINK("https://storage.sslt.ae/ItemVariation/08DCFA79-079E-40CE-87FC-7456D231FCBC/5CC09F4B-0F73-4122-9FB1-A4D1C648D48B.png","Variant Image")</f>
      </c>
      <c r="U1144" s="0">
        <f>HYPERLINK("https://ec-qa-storage.kldlms.com/Item/08DCFA79-079E-40CE-87FC-7456D231FCBC/B676206F-AB51-4AA8-A324-F51CD02A0EDF.png","Thumbnail Image")</f>
      </c>
      <c r="V1144" s="0">
        <f>HYPERLINK("https://ec-qa-storage.kldlms.com/ItemGallery/08DCFA79-079E-40CE-87FC-7456D231FCBC/BEF1B5D0-4FDF-44F8-8243-B3A7DA32E19E.png","Gallery Image ")</f>
      </c>
      <c r="W1144" s="0" t="s">
        <v>22</v>
      </c>
      <c r="X1144" s="0" t="s">
        <v>4563</v>
      </c>
    </row>
    <row r="1145">
      <c r="A1145" s="0" t="s">
        <v>4564</v>
      </c>
      <c r="B1145" s="0" t="s">
        <v>4564</v>
      </c>
      <c r="C1145" s="0" t="s">
        <v>4565</v>
      </c>
      <c r="D1145" s="0" t="s">
        <v>27</v>
      </c>
      <c r="E1145" s="0" t="s">
        <v>4450</v>
      </c>
      <c r="F1145" s="0" t="s">
        <v>3120</v>
      </c>
      <c r="G1145" s="0" t="s">
        <v>4564</v>
      </c>
      <c r="H1145" s="0" t="s">
        <v>4564</v>
      </c>
      <c r="I1145" s="0" t="s">
        <v>615</v>
      </c>
      <c r="J1145" s="0" t="s">
        <v>615</v>
      </c>
      <c r="K1145" s="0" t="s">
        <v>3637</v>
      </c>
      <c r="L1145" s="0" t="s">
        <v>32</v>
      </c>
      <c r="M1145" s="0" t="s">
        <v>33</v>
      </c>
      <c r="N1145" s="0" t="s">
        <v>720</v>
      </c>
      <c r="O1145" s="0" t="s">
        <v>35</v>
      </c>
      <c r="P1145" s="0" t="s">
        <v>39</v>
      </c>
      <c r="Q1145" s="0" t="s">
        <v>3638</v>
      </c>
      <c r="R1145" s="0" t="s">
        <v>4565</v>
      </c>
      <c r="S1145" s="0" t="s">
        <v>720</v>
      </c>
      <c r="T1145" s="0">
        <f>HYPERLINK("https://storage.sslt.ae/ItemVariation/08DCFA79-07F9-4AE4-83D7-7E226F4CBFA7/764FF11B-BB00-4166-B333-6B412B99953A.png","Variant Image")</f>
      </c>
      <c r="U1145" s="0">
        <f>HYPERLINK("https://ec-qa-storage.kldlms.com/Item/08DCFA79-07F9-4AE4-83D7-7E226F4CBFA7/12EA2703-AE7F-45A2-AB50-0777BDF47FAC.png","Thumbnail Image")</f>
      </c>
      <c r="V1145" s="0">
        <f>HYPERLINK("https://ec-qa-storage.kldlms.com/ItemGallery/08DCFA79-07F9-4AE4-83D7-7E226F4CBFA7/E53138C6-24DF-48D8-AE08-E0F95455276C.png","Gallery Image ")</f>
      </c>
      <c r="W1145" s="0" t="s">
        <v>22</v>
      </c>
      <c r="X1145" s="0" t="s">
        <v>4566</v>
      </c>
    </row>
    <row r="1146">
      <c r="A1146" s="0" t="s">
        <v>4567</v>
      </c>
      <c r="B1146" s="0" t="s">
        <v>4567</v>
      </c>
      <c r="C1146" s="0" t="s">
        <v>4568</v>
      </c>
      <c r="D1146" s="0" t="s">
        <v>27</v>
      </c>
      <c r="E1146" s="0" t="s">
        <v>79</v>
      </c>
      <c r="F1146" s="0" t="s">
        <v>3120</v>
      </c>
      <c r="G1146" s="0" t="s">
        <v>4567</v>
      </c>
      <c r="H1146" s="0" t="s">
        <v>4567</v>
      </c>
      <c r="I1146" s="0" t="s">
        <v>615</v>
      </c>
      <c r="J1146" s="0" t="s">
        <v>615</v>
      </c>
      <c r="K1146" s="0" t="s">
        <v>4569</v>
      </c>
      <c r="L1146" s="0" t="s">
        <v>32</v>
      </c>
      <c r="M1146" s="0" t="s">
        <v>33</v>
      </c>
      <c r="N1146" s="0" t="s">
        <v>409</v>
      </c>
      <c r="O1146" s="0" t="s">
        <v>35</v>
      </c>
      <c r="P1146" s="0" t="s">
        <v>39</v>
      </c>
      <c r="Q1146" s="0" t="s">
        <v>4570</v>
      </c>
      <c r="R1146" s="0" t="s">
        <v>4568</v>
      </c>
      <c r="S1146" s="0" t="s">
        <v>409</v>
      </c>
      <c r="T1146" s="0">
        <f>HYPERLINK("https://storage.sslt.ae/ItemVariation/08DCFA79-0855-41E4-822B-FB2126B79A2D/8FED0A35-17A9-4939-B1EA-26E3D0670B63.png","Variant Image")</f>
      </c>
      <c r="U1146" s="0">
        <f>HYPERLINK("https://ec-qa-storage.kldlms.com/Item/08DCFA79-0855-41E4-822B-FB2126B79A2D/BD5310AE-9CC6-42C5-874F-68542F708A00.png","Thumbnail Image")</f>
      </c>
      <c r="V1146" s="0">
        <f>HYPERLINK("https://ec-qa-storage.kldlms.com/ItemGallery/08DCFA79-0855-41E4-822B-FB2126B79A2D/B3D7082F-2D6D-4FA3-B427-EA7DB46A0033.png","Gallery Image ")</f>
      </c>
      <c r="W1146" s="0" t="s">
        <v>22</v>
      </c>
      <c r="X1146" s="0" t="s">
        <v>4571</v>
      </c>
    </row>
    <row r="1147">
      <c r="A1147" s="0" t="s">
        <v>4572</v>
      </c>
      <c r="B1147" s="0" t="s">
        <v>4572</v>
      </c>
      <c r="C1147" s="0" t="s">
        <v>4573</v>
      </c>
      <c r="D1147" s="0" t="s">
        <v>27</v>
      </c>
      <c r="E1147" s="0" t="s">
        <v>4450</v>
      </c>
      <c r="F1147" s="0" t="s">
        <v>3120</v>
      </c>
      <c r="G1147" s="0" t="s">
        <v>4572</v>
      </c>
      <c r="H1147" s="0" t="s">
        <v>4572</v>
      </c>
      <c r="I1147" s="0" t="s">
        <v>615</v>
      </c>
      <c r="J1147" s="0" t="s">
        <v>615</v>
      </c>
      <c r="K1147" s="0" t="s">
        <v>4574</v>
      </c>
      <c r="L1147" s="0" t="s">
        <v>32</v>
      </c>
      <c r="M1147" s="0" t="s">
        <v>33</v>
      </c>
      <c r="N1147" s="0" t="s">
        <v>160</v>
      </c>
      <c r="O1147" s="0" t="s">
        <v>35</v>
      </c>
      <c r="P1147" s="0" t="s">
        <v>39</v>
      </c>
      <c r="Q1147" s="0" t="s">
        <v>4575</v>
      </c>
      <c r="R1147" s="0" t="s">
        <v>4573</v>
      </c>
      <c r="S1147" s="0" t="s">
        <v>160</v>
      </c>
      <c r="T1147" s="0">
        <f>HYPERLINK("https://storage.sslt.ae/ItemVariation/08DCFA79-08B0-48FE-866D-BF112AE7F3F8/E7741ED3-8740-424B-B734-57CBD2C8304A.png","Variant Image")</f>
      </c>
      <c r="U1147" s="0">
        <f>HYPERLINK("https://ec-qa-storage.kldlms.com/Item/08DCFA79-08B0-48FE-866D-BF112AE7F3F8/D99E6BD7-BDD4-471A-8174-F8FFAD165B47.png","Thumbnail Image")</f>
      </c>
      <c r="V1147" s="0">
        <f>HYPERLINK("https://ec-qa-storage.kldlms.com/ItemGallery/08DCFA79-08B0-48FE-866D-BF112AE7F3F8/05673D01-FCB0-475B-898B-45F51D9BEFB7.png","Gallery Image ")</f>
      </c>
      <c r="W1147" s="0" t="s">
        <v>22</v>
      </c>
      <c r="X1147" s="0" t="s">
        <v>4576</v>
      </c>
    </row>
    <row r="1148">
      <c r="A1148" s="0" t="s">
        <v>4577</v>
      </c>
      <c r="B1148" s="0" t="s">
        <v>4577</v>
      </c>
      <c r="C1148" s="0" t="s">
        <v>4578</v>
      </c>
      <c r="D1148" s="0" t="s">
        <v>27</v>
      </c>
      <c r="E1148" s="0" t="s">
        <v>4450</v>
      </c>
      <c r="F1148" s="0" t="s">
        <v>3120</v>
      </c>
      <c r="G1148" s="0" t="s">
        <v>4577</v>
      </c>
      <c r="H1148" s="0" t="s">
        <v>4577</v>
      </c>
      <c r="I1148" s="0" t="s">
        <v>615</v>
      </c>
      <c r="J1148" s="0" t="s">
        <v>615</v>
      </c>
      <c r="K1148" s="0" t="s">
        <v>4579</v>
      </c>
      <c r="L1148" s="0" t="s">
        <v>32</v>
      </c>
      <c r="M1148" s="0" t="s">
        <v>33</v>
      </c>
      <c r="N1148" s="0" t="s">
        <v>109</v>
      </c>
      <c r="O1148" s="0" t="s">
        <v>35</v>
      </c>
      <c r="P1148" s="0" t="s">
        <v>39</v>
      </c>
      <c r="Q1148" s="0" t="s">
        <v>4580</v>
      </c>
      <c r="R1148" s="0" t="s">
        <v>4578</v>
      </c>
      <c r="S1148" s="0" t="s">
        <v>109</v>
      </c>
      <c r="T1148" s="0">
        <f>HYPERLINK("https://storage.sslt.ae/ItemVariation/08DCFA79-090D-40A1-8B65-6EE0502E3BFC/2BCB0BB8-BA2D-4BEA-AEAF-110EB1380FA0.png","Variant Image")</f>
      </c>
      <c r="U1148" s="0">
        <f>HYPERLINK("https://ec-qa-storage.kldlms.com/Item/08DCFA79-090D-40A1-8B65-6EE0502E3BFC/31CE61FC-8CDA-4DCE-87DF-A6126CFDA347.png","Thumbnail Image")</f>
      </c>
      <c r="V1148" s="0">
        <f>HYPERLINK("https://ec-qa-storage.kldlms.com/ItemGallery/08DCFA79-090D-40A1-8B65-6EE0502E3BFC/8E5FDB82-9297-42B7-A683-5FEBBF228C0F.png","Gallery Image ")</f>
      </c>
      <c r="W1148" s="0" t="s">
        <v>22</v>
      </c>
      <c r="X1148" s="0" t="s">
        <v>4581</v>
      </c>
    </row>
    <row r="1149">
      <c r="A1149" s="0" t="s">
        <v>4582</v>
      </c>
      <c r="B1149" s="0" t="s">
        <v>4582</v>
      </c>
      <c r="C1149" s="0" t="s">
        <v>4583</v>
      </c>
      <c r="D1149" s="0" t="s">
        <v>27</v>
      </c>
      <c r="E1149" s="0" t="s">
        <v>4450</v>
      </c>
      <c r="F1149" s="0" t="s">
        <v>3120</v>
      </c>
      <c r="G1149" s="0" t="s">
        <v>4582</v>
      </c>
      <c r="H1149" s="0" t="s">
        <v>4582</v>
      </c>
      <c r="I1149" s="0" t="s">
        <v>615</v>
      </c>
      <c r="J1149" s="0" t="s">
        <v>615</v>
      </c>
      <c r="K1149" s="0" t="s">
        <v>4584</v>
      </c>
      <c r="L1149" s="0" t="s">
        <v>32</v>
      </c>
      <c r="M1149" s="0" t="s">
        <v>33</v>
      </c>
      <c r="N1149" s="0" t="s">
        <v>218</v>
      </c>
      <c r="O1149" s="0" t="s">
        <v>35</v>
      </c>
      <c r="P1149" s="0" t="s">
        <v>39</v>
      </c>
      <c r="Q1149" s="0" t="s">
        <v>4585</v>
      </c>
      <c r="R1149" s="0" t="s">
        <v>4583</v>
      </c>
      <c r="S1149" s="0" t="s">
        <v>218</v>
      </c>
      <c r="T1149" s="0">
        <f>HYPERLINK("https://storage.sslt.ae/ItemVariation/08DCFA79-0969-463E-8C96-55B3872D6737/000BFF8D-D140-42D8-8D78-871A1A08190F.png","Variant Image")</f>
      </c>
      <c r="U1149" s="0">
        <f>HYPERLINK("https://ec-qa-storage.kldlms.com/Item/08DCFA79-0969-463E-8C96-55B3872D6737/C6BA23CF-A48D-4C9B-B0D1-0128922D1164.png","Thumbnail Image")</f>
      </c>
      <c r="V1149" s="0">
        <f>HYPERLINK("https://ec-qa-storage.kldlms.com/ItemGallery/08DCFA79-0969-463E-8C96-55B3872D6737/47B236D2-B4BF-4017-9D99-A02B274C3AF1.png","Gallery Image ")</f>
      </c>
      <c r="W1149" s="0" t="s">
        <v>22</v>
      </c>
      <c r="X1149" s="0" t="s">
        <v>4586</v>
      </c>
    </row>
    <row r="1150">
      <c r="A1150" s="0" t="s">
        <v>4587</v>
      </c>
      <c r="B1150" s="0" t="s">
        <v>4587</v>
      </c>
      <c r="C1150" s="0" t="s">
        <v>4588</v>
      </c>
      <c r="D1150" s="0" t="s">
        <v>27</v>
      </c>
      <c r="E1150" s="0" t="s">
        <v>4450</v>
      </c>
      <c r="F1150" s="0" t="s">
        <v>3120</v>
      </c>
      <c r="G1150" s="0" t="s">
        <v>4587</v>
      </c>
      <c r="H1150" s="0" t="s">
        <v>4587</v>
      </c>
      <c r="I1150" s="0" t="s">
        <v>615</v>
      </c>
      <c r="J1150" s="0" t="s">
        <v>615</v>
      </c>
      <c r="K1150" s="0" t="s">
        <v>4589</v>
      </c>
      <c r="L1150" s="0" t="s">
        <v>32</v>
      </c>
      <c r="M1150" s="0" t="s">
        <v>33</v>
      </c>
      <c r="N1150" s="0" t="s">
        <v>404</v>
      </c>
      <c r="O1150" s="0" t="s">
        <v>35</v>
      </c>
      <c r="P1150" s="0" t="s">
        <v>39</v>
      </c>
      <c r="Q1150" s="0" t="s">
        <v>4590</v>
      </c>
      <c r="R1150" s="0" t="s">
        <v>4588</v>
      </c>
      <c r="S1150" s="0" t="s">
        <v>404</v>
      </c>
      <c r="T1150" s="0">
        <f>HYPERLINK("https://storage.sslt.ae/ItemVariation/08DCFA79-09C4-4556-8146-30408DC9F26D/B29F8286-F313-4159-AF86-EC7551742ECD.png","Variant Image")</f>
      </c>
      <c r="U1150" s="0">
        <f>HYPERLINK("https://ec-qa-storage.kldlms.com/Item/08DCFA79-09C4-4556-8146-30408DC9F26D/9971D119-BA49-4549-BB54-FD9AB59C24B6.png","Thumbnail Image")</f>
      </c>
      <c r="V1150" s="0">
        <f>HYPERLINK("https://ec-qa-storage.kldlms.com/ItemGallery/08DCFA79-09C4-4556-8146-30408DC9F26D/2CF2056E-A44B-4A48-88ED-A7AD78C8386F.png","Gallery Image ")</f>
      </c>
      <c r="W1150" s="0" t="s">
        <v>22</v>
      </c>
      <c r="X1150" s="0" t="s">
        <v>4591</v>
      </c>
    </row>
    <row r="1151">
      <c r="A1151" s="0" t="s">
        <v>4592</v>
      </c>
      <c r="B1151" s="0" t="s">
        <v>4592</v>
      </c>
      <c r="C1151" s="0" t="s">
        <v>4593</v>
      </c>
      <c r="D1151" s="0" t="s">
        <v>27</v>
      </c>
      <c r="E1151" s="0" t="s">
        <v>4450</v>
      </c>
      <c r="F1151" s="0" t="s">
        <v>3120</v>
      </c>
      <c r="G1151" s="0" t="s">
        <v>4592</v>
      </c>
      <c r="H1151" s="0" t="s">
        <v>4592</v>
      </c>
      <c r="I1151" s="0" t="s">
        <v>615</v>
      </c>
      <c r="J1151" s="0" t="s">
        <v>615</v>
      </c>
      <c r="K1151" s="0" t="s">
        <v>4594</v>
      </c>
      <c r="L1151" s="0" t="s">
        <v>32</v>
      </c>
      <c r="M1151" s="0" t="s">
        <v>33</v>
      </c>
      <c r="N1151" s="0" t="s">
        <v>512</v>
      </c>
      <c r="O1151" s="0" t="s">
        <v>35</v>
      </c>
      <c r="P1151" s="0" t="s">
        <v>39</v>
      </c>
      <c r="Q1151" s="0" t="s">
        <v>4595</v>
      </c>
      <c r="R1151" s="0" t="s">
        <v>4593</v>
      </c>
      <c r="S1151" s="0" t="s">
        <v>512</v>
      </c>
      <c r="T1151" s="0">
        <f>HYPERLINK("https://storage.sslt.ae/ItemVariation/08DCFA79-0A20-4B5E-8139-AD5CED617C7F/281734F5-BED8-4D2F-86A8-BF19FE91D9B1.png","Variant Image")</f>
      </c>
      <c r="U1151" s="0">
        <f>HYPERLINK("https://ec-qa-storage.kldlms.com/Item/08DCFA79-0A20-4B5E-8139-AD5CED617C7F/10C87F24-DA5E-40C4-9458-33CEB6001E7D.png","Thumbnail Image")</f>
      </c>
      <c r="V1151" s="0">
        <f>HYPERLINK("https://ec-qa-storage.kldlms.com/ItemGallery/08DCFA79-0A20-4B5E-8139-AD5CED617C7F/35B83121-5147-4F36-92A5-B722E00655B3.png","Gallery Image ")</f>
      </c>
      <c r="W1151" s="0" t="s">
        <v>22</v>
      </c>
      <c r="X1151" s="0" t="s">
        <v>4596</v>
      </c>
    </row>
    <row r="1152">
      <c r="A1152" s="0" t="s">
        <v>4597</v>
      </c>
      <c r="B1152" s="0" t="s">
        <v>4597</v>
      </c>
      <c r="C1152" s="0" t="s">
        <v>4598</v>
      </c>
      <c r="D1152" s="0" t="s">
        <v>27</v>
      </c>
      <c r="E1152" s="0" t="s">
        <v>4450</v>
      </c>
      <c r="F1152" s="0" t="s">
        <v>3120</v>
      </c>
      <c r="G1152" s="0" t="s">
        <v>4597</v>
      </c>
      <c r="H1152" s="0" t="s">
        <v>4597</v>
      </c>
      <c r="I1152" s="0" t="s">
        <v>615</v>
      </c>
      <c r="J1152" s="0" t="s">
        <v>615</v>
      </c>
      <c r="K1152" s="0" t="s">
        <v>4599</v>
      </c>
      <c r="L1152" s="0" t="s">
        <v>32</v>
      </c>
      <c r="M1152" s="0" t="s">
        <v>33</v>
      </c>
      <c r="N1152" s="0" t="s">
        <v>140</v>
      </c>
      <c r="O1152" s="0" t="s">
        <v>35</v>
      </c>
      <c r="P1152" s="0" t="s">
        <v>39</v>
      </c>
      <c r="Q1152" s="0" t="s">
        <v>4600</v>
      </c>
      <c r="R1152" s="0" t="s">
        <v>4598</v>
      </c>
      <c r="S1152" s="0" t="s">
        <v>140</v>
      </c>
      <c r="T1152" s="0">
        <f>HYPERLINK("https://storage.sslt.ae/ItemVariation/08DCFA79-0A7B-4EFB-8925-CD9AC72ECAB3/A946FA0F-CB39-4C03-BDA7-1F12A8E985EF.png","Variant Image")</f>
      </c>
      <c r="U1152" s="0">
        <f>HYPERLINK("https://ec-qa-storage.kldlms.com/Item/08DCFA79-0A7B-4EFB-8925-CD9AC72ECAB3/4CA6AEEA-4ECF-41A6-8715-D07ADFB8642E.png","Thumbnail Image")</f>
      </c>
      <c r="V1152" s="0">
        <f>HYPERLINK("https://ec-qa-storage.kldlms.com/ItemGallery/08DCFA79-0A7B-4EFB-8925-CD9AC72ECAB3/648DC157-56BD-45F1-964D-97EF71417073.png","Gallery Image ")</f>
      </c>
      <c r="W1152" s="0" t="s">
        <v>22</v>
      </c>
      <c r="X1152" s="0" t="s">
        <v>4601</v>
      </c>
    </row>
    <row r="1153">
      <c r="A1153" s="0" t="s">
        <v>4602</v>
      </c>
      <c r="B1153" s="0" t="s">
        <v>4602</v>
      </c>
      <c r="C1153" s="0" t="s">
        <v>4603</v>
      </c>
      <c r="D1153" s="0" t="s">
        <v>27</v>
      </c>
      <c r="E1153" s="0" t="s">
        <v>4450</v>
      </c>
      <c r="F1153" s="0" t="s">
        <v>3120</v>
      </c>
      <c r="G1153" s="0" t="s">
        <v>4602</v>
      </c>
      <c r="H1153" s="0" t="s">
        <v>4602</v>
      </c>
      <c r="I1153" s="0" t="s">
        <v>615</v>
      </c>
      <c r="J1153" s="0" t="s">
        <v>615</v>
      </c>
      <c r="K1153" s="0" t="s">
        <v>4604</v>
      </c>
      <c r="L1153" s="0" t="s">
        <v>32</v>
      </c>
      <c r="M1153" s="0" t="s">
        <v>33</v>
      </c>
      <c r="N1153" s="0" t="s">
        <v>218</v>
      </c>
      <c r="O1153" s="0" t="s">
        <v>35</v>
      </c>
      <c r="P1153" s="0" t="s">
        <v>39</v>
      </c>
      <c r="Q1153" s="0" t="s">
        <v>4605</v>
      </c>
      <c r="R1153" s="0" t="s">
        <v>4603</v>
      </c>
      <c r="S1153" s="0" t="s">
        <v>218</v>
      </c>
      <c r="T1153" s="0">
        <f>HYPERLINK("https://storage.sslt.ae/ItemVariation/08DCFA79-0AD9-4254-8F0B-C28E43A88942/3E650820-8592-412F-9FA6-3DF5B00DF2F5.png","Variant Image")</f>
      </c>
      <c r="U1153" s="0">
        <f>HYPERLINK("https://ec-qa-storage.kldlms.com/Item/08DCFA79-0AD9-4254-8F0B-C28E43A88942/4C784B21-7398-4F29-B0B0-366420250356.png","Thumbnail Image")</f>
      </c>
      <c r="V1153" s="0">
        <f>HYPERLINK("https://ec-qa-storage.kldlms.com/ItemGallery/08DCFA79-0AD9-4254-8F0B-C28E43A88942/73F08508-4C4D-4CDD-9668-FB00684FE59A.png","Gallery Image ")</f>
      </c>
      <c r="W1153" s="0" t="s">
        <v>22</v>
      </c>
      <c r="X1153" s="0" t="s">
        <v>4606</v>
      </c>
    </row>
    <row r="1154">
      <c r="A1154" s="0" t="s">
        <v>4607</v>
      </c>
      <c r="B1154" s="0" t="s">
        <v>4607</v>
      </c>
      <c r="C1154" s="0" t="s">
        <v>4608</v>
      </c>
      <c r="D1154" s="0" t="s">
        <v>27</v>
      </c>
      <c r="E1154" s="0" t="s">
        <v>79</v>
      </c>
      <c r="F1154" s="0" t="s">
        <v>3120</v>
      </c>
      <c r="G1154" s="0" t="s">
        <v>4607</v>
      </c>
      <c r="H1154" s="0" t="s">
        <v>4607</v>
      </c>
      <c r="I1154" s="0" t="s">
        <v>615</v>
      </c>
      <c r="J1154" s="0" t="s">
        <v>615</v>
      </c>
      <c r="K1154" s="0" t="s">
        <v>4609</v>
      </c>
      <c r="L1154" s="0" t="s">
        <v>32</v>
      </c>
      <c r="M1154" s="0" t="s">
        <v>33</v>
      </c>
      <c r="N1154" s="0" t="s">
        <v>202</v>
      </c>
      <c r="O1154" s="0" t="s">
        <v>35</v>
      </c>
      <c r="P1154" s="0" t="s">
        <v>39</v>
      </c>
      <c r="Q1154" s="0" t="s">
        <v>4610</v>
      </c>
      <c r="R1154" s="0" t="s">
        <v>4608</v>
      </c>
      <c r="S1154" s="0" t="s">
        <v>202</v>
      </c>
      <c r="T1154" s="0">
        <f>HYPERLINK("https://storage.sslt.ae/ItemVariation/08DCFA79-0B34-4F16-88C2-984EFA65F696/B07DAD7F-EAED-4224-89AA-80FB253F01AA.png","Variant Image")</f>
      </c>
      <c r="U1154" s="0">
        <f>HYPERLINK("https://ec-qa-storage.kldlms.com/Item/08DCFA79-0B34-4F16-88C2-984EFA65F696/F64E3C6F-5C56-44BB-B2FF-624532346F4B.png","Thumbnail Image")</f>
      </c>
      <c r="V1154" s="0">
        <f>HYPERLINK("https://ec-qa-storage.kldlms.com/ItemGallery/08DCFA79-0B34-4F16-88C2-984EFA65F696/8540E22B-52E2-49FE-AE41-1DF7C65D7351.png","Gallery Image ")</f>
      </c>
      <c r="W1154" s="0" t="s">
        <v>22</v>
      </c>
      <c r="X1154" s="0" t="s">
        <v>4611</v>
      </c>
    </row>
    <row r="1155">
      <c r="A1155" s="0" t="s">
        <v>4612</v>
      </c>
      <c r="B1155" s="0" t="s">
        <v>4612</v>
      </c>
      <c r="C1155" s="0" t="s">
        <v>4613</v>
      </c>
      <c r="D1155" s="0" t="s">
        <v>27</v>
      </c>
      <c r="E1155" s="0" t="s">
        <v>4450</v>
      </c>
      <c r="F1155" s="0" t="s">
        <v>3120</v>
      </c>
      <c r="G1155" s="0" t="s">
        <v>4612</v>
      </c>
      <c r="H1155" s="0" t="s">
        <v>4612</v>
      </c>
      <c r="I1155" s="0" t="s">
        <v>615</v>
      </c>
      <c r="J1155" s="0" t="s">
        <v>615</v>
      </c>
      <c r="K1155" s="0" t="s">
        <v>583</v>
      </c>
      <c r="L1155" s="0" t="s">
        <v>32</v>
      </c>
      <c r="M1155" s="0" t="s">
        <v>33</v>
      </c>
      <c r="N1155" s="0" t="s">
        <v>110</v>
      </c>
      <c r="O1155" s="0" t="s">
        <v>35</v>
      </c>
      <c r="P1155" s="0" t="s">
        <v>39</v>
      </c>
      <c r="Q1155" s="0" t="s">
        <v>584</v>
      </c>
      <c r="R1155" s="0" t="s">
        <v>4613</v>
      </c>
      <c r="S1155" s="0" t="s">
        <v>110</v>
      </c>
      <c r="T1155" s="0">
        <f>HYPERLINK("https://storage.sslt.ae/ItemVariation/08DCFA79-0B90-4D82-8434-E9359984CD27/5E2B57E0-EDB1-4571-AEE0-C03FCE368219.png","Variant Image")</f>
      </c>
      <c r="U1155" s="0">
        <f>HYPERLINK("https://ec-qa-storage.kldlms.com/Item/08DCFA79-0B90-4D82-8434-E9359984CD27/DA2A7492-71F6-4DB9-9363-92CCE0C486F3.png","Thumbnail Image")</f>
      </c>
      <c r="V1155" s="0">
        <f>HYPERLINK("https://ec-qa-storage.kldlms.com/ItemGallery/08DCFA79-0B90-4D82-8434-E9359984CD27/97AF117F-E73C-4963-A4FC-850438130784.png","Gallery Image ")</f>
      </c>
      <c r="W1155" s="0" t="s">
        <v>22</v>
      </c>
      <c r="X1155" s="0" t="s">
        <v>4614</v>
      </c>
    </row>
    <row r="1156">
      <c r="A1156" s="0" t="s">
        <v>4615</v>
      </c>
      <c r="B1156" s="0" t="s">
        <v>4615</v>
      </c>
      <c r="C1156" s="0" t="s">
        <v>4616</v>
      </c>
      <c r="D1156" s="0" t="s">
        <v>27</v>
      </c>
      <c r="E1156" s="0" t="s">
        <v>4450</v>
      </c>
      <c r="F1156" s="0" t="s">
        <v>3120</v>
      </c>
      <c r="G1156" s="0" t="s">
        <v>4615</v>
      </c>
      <c r="H1156" s="0" t="s">
        <v>4615</v>
      </c>
      <c r="I1156" s="0" t="s">
        <v>615</v>
      </c>
      <c r="J1156" s="0" t="s">
        <v>615</v>
      </c>
      <c r="K1156" s="0" t="s">
        <v>2178</v>
      </c>
      <c r="L1156" s="0" t="s">
        <v>32</v>
      </c>
      <c r="M1156" s="0" t="s">
        <v>33</v>
      </c>
      <c r="N1156" s="0" t="s">
        <v>254</v>
      </c>
      <c r="O1156" s="0" t="s">
        <v>35</v>
      </c>
      <c r="P1156" s="0" t="s">
        <v>39</v>
      </c>
      <c r="Q1156" s="0" t="s">
        <v>4617</v>
      </c>
      <c r="R1156" s="0" t="s">
        <v>4616</v>
      </c>
      <c r="S1156" s="0" t="s">
        <v>254</v>
      </c>
      <c r="T1156" s="0">
        <f>HYPERLINK("https://storage.sslt.ae/ItemVariation/08DCFA79-0BEE-41EC-8CAF-587C80437F14/A23D0686-1836-4A04-84FE-D440898777EF.png","Variant Image")</f>
      </c>
      <c r="U1156" s="0">
        <f>HYPERLINK("https://ec-qa-storage.kldlms.com/Item/08DCFA79-0BEE-41EC-8CAF-587C80437F14/01DD9CC2-B496-450D-BA9F-CE293CDF4341.png","Thumbnail Image")</f>
      </c>
      <c r="V1156" s="0">
        <f>HYPERLINK("https://ec-qa-storage.kldlms.com/ItemGallery/08DCFA79-0BEE-41EC-8CAF-587C80437F14/863ADCC0-3B1C-41FA-9ACD-C89814E4E6D8.png","Gallery Image ")</f>
      </c>
      <c r="W1156" s="0" t="s">
        <v>22</v>
      </c>
      <c r="X1156" s="0" t="s">
        <v>4618</v>
      </c>
    </row>
    <row r="1157">
      <c r="A1157" s="0" t="s">
        <v>4619</v>
      </c>
      <c r="B1157" s="0" t="s">
        <v>4619</v>
      </c>
      <c r="C1157" s="0" t="s">
        <v>4620</v>
      </c>
      <c r="D1157" s="0" t="s">
        <v>27</v>
      </c>
      <c r="E1157" s="0" t="s">
        <v>4450</v>
      </c>
      <c r="F1157" s="0" t="s">
        <v>3120</v>
      </c>
      <c r="G1157" s="0" t="s">
        <v>4619</v>
      </c>
      <c r="H1157" s="0" t="s">
        <v>4619</v>
      </c>
      <c r="I1157" s="0" t="s">
        <v>615</v>
      </c>
      <c r="J1157" s="0" t="s">
        <v>615</v>
      </c>
      <c r="K1157" s="0" t="s">
        <v>578</v>
      </c>
      <c r="L1157" s="0" t="s">
        <v>32</v>
      </c>
      <c r="M1157" s="0" t="s">
        <v>33</v>
      </c>
      <c r="N1157" s="0" t="s">
        <v>245</v>
      </c>
      <c r="O1157" s="0" t="s">
        <v>35</v>
      </c>
      <c r="P1157" s="0" t="s">
        <v>39</v>
      </c>
      <c r="Q1157" s="0" t="s">
        <v>4621</v>
      </c>
      <c r="R1157" s="0" t="s">
        <v>4620</v>
      </c>
      <c r="S1157" s="0" t="s">
        <v>245</v>
      </c>
      <c r="T1157" s="0">
        <f>HYPERLINK("https://storage.sslt.ae/ItemVariation/08DCFA79-0C48-48A0-8310-5CBD8C0209E5/9B9F7E53-EE0E-4A85-AC72-84E190C04BA5.png","Variant Image")</f>
      </c>
      <c r="U1157" s="0">
        <f>HYPERLINK("https://ec-qa-storage.kldlms.com/Item/08DCFA79-0C48-48A0-8310-5CBD8C0209E5/8C0103BA-7265-4C2F-B598-C8385C0CB9DD.png","Thumbnail Image")</f>
      </c>
      <c r="V1157" s="0">
        <f>HYPERLINK("https://ec-qa-storage.kldlms.com/ItemGallery/08DCFA79-0C48-48A0-8310-5CBD8C0209E5/B179F20A-11BE-4FC1-B8F4-30F6D94F27FA.png","Gallery Image ")</f>
      </c>
      <c r="W1157" s="0" t="s">
        <v>22</v>
      </c>
      <c r="X1157" s="0" t="s">
        <v>4622</v>
      </c>
    </row>
    <row r="1158">
      <c r="A1158" s="0" t="s">
        <v>4623</v>
      </c>
      <c r="B1158" s="0" t="s">
        <v>4623</v>
      </c>
      <c r="C1158" s="0" t="s">
        <v>4624</v>
      </c>
      <c r="D1158" s="0" t="s">
        <v>27</v>
      </c>
      <c r="E1158" s="0" t="s">
        <v>4450</v>
      </c>
      <c r="F1158" s="0" t="s">
        <v>3120</v>
      </c>
      <c r="G1158" s="0" t="s">
        <v>4623</v>
      </c>
      <c r="H1158" s="0" t="s">
        <v>4623</v>
      </c>
      <c r="I1158" s="0" t="s">
        <v>615</v>
      </c>
      <c r="J1158" s="0" t="s">
        <v>615</v>
      </c>
      <c r="K1158" s="0" t="s">
        <v>2842</v>
      </c>
      <c r="L1158" s="0" t="s">
        <v>32</v>
      </c>
      <c r="M1158" s="0" t="s">
        <v>33</v>
      </c>
      <c r="N1158" s="0" t="s">
        <v>3856</v>
      </c>
      <c r="O1158" s="0" t="s">
        <v>35</v>
      </c>
      <c r="P1158" s="0" t="s">
        <v>39</v>
      </c>
      <c r="Q1158" s="0" t="s">
        <v>2844</v>
      </c>
      <c r="R1158" s="0" t="s">
        <v>4624</v>
      </c>
      <c r="S1158" s="0" t="s">
        <v>3856</v>
      </c>
      <c r="T1158" s="0">
        <f>HYPERLINK("https://storage.sslt.ae/ItemVariation/08DCFA79-0CA4-4A6D-8DEC-6F950E84C973/B99CE3A0-B3F7-47DB-A747-E6D8EE86E506.png","Variant Image")</f>
      </c>
      <c r="U1158" s="0">
        <f>HYPERLINK("https://ec-qa-storage.kldlms.com/Item/08DCFA79-0CA4-4A6D-8DEC-6F950E84C973/F668DFB6-95FC-4AB4-82DD-84B0E644CCA6.png","Thumbnail Image")</f>
      </c>
      <c r="V1158" s="0">
        <f>HYPERLINK("https://ec-qa-storage.kldlms.com/ItemGallery/08DCFA79-0CA4-4A6D-8DEC-6F950E84C973/87432517-285F-4005-82C7-AFB965D912BC.png","Gallery Image ")</f>
      </c>
      <c r="W1158" s="0" t="s">
        <v>22</v>
      </c>
      <c r="X1158" s="0" t="s">
        <v>4625</v>
      </c>
    </row>
    <row r="1159">
      <c r="A1159" s="0" t="s">
        <v>4626</v>
      </c>
      <c r="B1159" s="0" t="s">
        <v>4626</v>
      </c>
      <c r="C1159" s="0" t="s">
        <v>4627</v>
      </c>
      <c r="D1159" s="0" t="s">
        <v>27</v>
      </c>
      <c r="E1159" s="0" t="s">
        <v>4450</v>
      </c>
      <c r="F1159" s="0" t="s">
        <v>3120</v>
      </c>
      <c r="G1159" s="0" t="s">
        <v>4626</v>
      </c>
      <c r="H1159" s="0" t="s">
        <v>4626</v>
      </c>
      <c r="I1159" s="0" t="s">
        <v>615</v>
      </c>
      <c r="J1159" s="0" t="s">
        <v>615</v>
      </c>
      <c r="K1159" s="0" t="s">
        <v>4628</v>
      </c>
      <c r="L1159" s="0" t="s">
        <v>32</v>
      </c>
      <c r="M1159" s="0" t="s">
        <v>33</v>
      </c>
      <c r="N1159" s="0" t="s">
        <v>3497</v>
      </c>
      <c r="O1159" s="0" t="s">
        <v>35</v>
      </c>
      <c r="P1159" s="0" t="s">
        <v>39</v>
      </c>
      <c r="Q1159" s="0" t="s">
        <v>4629</v>
      </c>
      <c r="R1159" s="0" t="s">
        <v>4627</v>
      </c>
      <c r="S1159" s="0" t="s">
        <v>3497</v>
      </c>
      <c r="T1159" s="0">
        <f>HYPERLINK("https://storage.sslt.ae/ItemVariation/08DCFA79-0D03-4497-807C-027739CE56B1/09BC7A94-FB26-494C-8A9A-40D4315DEED8.png","Variant Image")</f>
      </c>
      <c r="U1159" s="0">
        <f>HYPERLINK("https://ec-qa-storage.kldlms.com/Item/08DCFA79-0D03-4497-807C-027739CE56B1/0CB00EAB-05D5-442B-9E96-9BD0B11A3C89.png","Thumbnail Image")</f>
      </c>
      <c r="V1159" s="0">
        <f>HYPERLINK("https://ec-qa-storage.kldlms.com/ItemGallery/08DCFA79-0D03-4497-807C-027739CE56B1/68A037F8-E6E9-4AC7-8A8F-07E7D8D98D7D.png","Gallery Image ")</f>
      </c>
      <c r="W1159" s="0" t="s">
        <v>22</v>
      </c>
      <c r="X1159" s="0" t="s">
        <v>4630</v>
      </c>
    </row>
    <row r="1160">
      <c r="A1160" s="0" t="s">
        <v>4631</v>
      </c>
      <c r="B1160" s="0" t="s">
        <v>4631</v>
      </c>
      <c r="C1160" s="0" t="s">
        <v>4632</v>
      </c>
      <c r="D1160" s="0" t="s">
        <v>27</v>
      </c>
      <c r="E1160" s="0" t="s">
        <v>4450</v>
      </c>
      <c r="F1160" s="0" t="s">
        <v>3120</v>
      </c>
      <c r="G1160" s="0" t="s">
        <v>4631</v>
      </c>
      <c r="H1160" s="0" t="s">
        <v>4631</v>
      </c>
      <c r="I1160" s="0" t="s">
        <v>615</v>
      </c>
      <c r="J1160" s="0" t="s">
        <v>615</v>
      </c>
      <c r="K1160" s="0" t="s">
        <v>4633</v>
      </c>
      <c r="L1160" s="0" t="s">
        <v>32</v>
      </c>
      <c r="M1160" s="0" t="s">
        <v>33</v>
      </c>
      <c r="N1160" s="0" t="s">
        <v>995</v>
      </c>
      <c r="O1160" s="0" t="s">
        <v>35</v>
      </c>
      <c r="P1160" s="0" t="s">
        <v>39</v>
      </c>
      <c r="Q1160" s="0" t="s">
        <v>4634</v>
      </c>
      <c r="R1160" s="0" t="s">
        <v>4632</v>
      </c>
      <c r="S1160" s="0" t="s">
        <v>995</v>
      </c>
      <c r="T1160" s="0">
        <f>HYPERLINK("https://storage.sslt.ae/ItemVariation/08DCFA79-0D5E-4112-8759-60268196EF77/41BCCEA1-CFEF-4252-B118-A6F0935F485A.png","Variant Image")</f>
      </c>
      <c r="U1160" s="0">
        <f>HYPERLINK("https://ec-qa-storage.kldlms.com/Item/08DCFA79-0D5E-4112-8759-60268196EF77/58C6AF8D-DB7A-4B06-88BF-43CD9BEDB482.png","Thumbnail Image")</f>
      </c>
      <c r="V1160" s="0">
        <f>HYPERLINK("https://ec-qa-storage.kldlms.com/ItemGallery/08DCFA79-0D5E-4112-8759-60268196EF77/82C15EAB-36F9-4C08-B138-EC51AE70048F.png","Gallery Image ")</f>
      </c>
      <c r="W1160" s="0" t="s">
        <v>22</v>
      </c>
      <c r="X1160" s="0" t="s">
        <v>4635</v>
      </c>
    </row>
    <row r="1161">
      <c r="A1161" s="0" t="s">
        <v>4636</v>
      </c>
      <c r="B1161" s="0" t="s">
        <v>4636</v>
      </c>
      <c r="C1161" s="0" t="s">
        <v>4637</v>
      </c>
      <c r="D1161" s="0" t="s">
        <v>27</v>
      </c>
      <c r="E1161" s="0" t="s">
        <v>4450</v>
      </c>
      <c r="F1161" s="0" t="s">
        <v>3120</v>
      </c>
      <c r="G1161" s="0" t="s">
        <v>4636</v>
      </c>
      <c r="H1161" s="0" t="s">
        <v>4636</v>
      </c>
      <c r="I1161" s="0" t="s">
        <v>615</v>
      </c>
      <c r="J1161" s="0" t="s">
        <v>615</v>
      </c>
      <c r="K1161" s="0" t="s">
        <v>679</v>
      </c>
      <c r="L1161" s="0" t="s">
        <v>32</v>
      </c>
      <c r="M1161" s="0" t="s">
        <v>33</v>
      </c>
      <c r="N1161" s="0" t="s">
        <v>100</v>
      </c>
      <c r="O1161" s="0" t="s">
        <v>35</v>
      </c>
      <c r="P1161" s="0" t="s">
        <v>39</v>
      </c>
      <c r="Q1161" s="0" t="s">
        <v>4405</v>
      </c>
      <c r="R1161" s="0" t="s">
        <v>4637</v>
      </c>
      <c r="S1161" s="0" t="s">
        <v>100</v>
      </c>
      <c r="T1161" s="0">
        <f>HYPERLINK("https://storage.sslt.ae/ItemVariation/08DCFA79-0DBA-45E5-8F97-E00423356BF3/E7632F84-7FEA-4BDB-9006-8234B73FCECE.png","Variant Image")</f>
      </c>
      <c r="U1161" s="0">
        <f>HYPERLINK("https://ec-qa-storage.kldlms.com/Item/08DCFA79-0DBA-45E5-8F97-E00423356BF3/ED0487C3-0013-40A5-86F4-5B6F1344C374.png","Thumbnail Image")</f>
      </c>
      <c r="V1161" s="0">
        <f>HYPERLINK("https://ec-qa-storage.kldlms.com/ItemGallery/08DCFA79-0DBA-45E5-8F97-E00423356BF3/5D6D8E50-4FCF-418A-B5F9-47A4DFFADA89.png","Gallery Image ")</f>
      </c>
      <c r="W1161" s="0" t="s">
        <v>22</v>
      </c>
      <c r="X1161" s="0" t="s">
        <v>4638</v>
      </c>
    </row>
    <row r="1162">
      <c r="A1162" s="0" t="s">
        <v>4639</v>
      </c>
      <c r="B1162" s="0" t="s">
        <v>4639</v>
      </c>
      <c r="C1162" s="0" t="s">
        <v>4640</v>
      </c>
      <c r="D1162" s="0" t="s">
        <v>27</v>
      </c>
      <c r="E1162" s="0" t="s">
        <v>4450</v>
      </c>
      <c r="F1162" s="0" t="s">
        <v>3120</v>
      </c>
      <c r="G1162" s="0" t="s">
        <v>4639</v>
      </c>
      <c r="H1162" s="0" t="s">
        <v>4639</v>
      </c>
      <c r="I1162" s="0" t="s">
        <v>615</v>
      </c>
      <c r="J1162" s="0" t="s">
        <v>615</v>
      </c>
      <c r="K1162" s="0" t="s">
        <v>3861</v>
      </c>
      <c r="L1162" s="0" t="s">
        <v>32</v>
      </c>
      <c r="M1162" s="0" t="s">
        <v>33</v>
      </c>
      <c r="N1162" s="0" t="s">
        <v>4641</v>
      </c>
      <c r="O1162" s="0" t="s">
        <v>35</v>
      </c>
      <c r="P1162" s="0" t="s">
        <v>39</v>
      </c>
      <c r="Q1162" s="0" t="s">
        <v>3862</v>
      </c>
      <c r="R1162" s="0" t="s">
        <v>4640</v>
      </c>
      <c r="S1162" s="0" t="s">
        <v>4641</v>
      </c>
      <c r="T1162" s="0">
        <f>HYPERLINK("https://storage.sslt.ae/ItemVariation/08DCFA79-0E14-4C57-824E-49242063190D/8AB1CADE-AAF1-4741-9F2D-5540DA8687E8.png","Variant Image")</f>
      </c>
      <c r="U1162" s="0">
        <f>HYPERLINK("https://ec-qa-storage.kldlms.com/Item/08DCFA79-0E14-4C57-824E-49242063190D/0F44B51D-DF95-4234-AD81-98A43BC950C9.png","Thumbnail Image")</f>
      </c>
      <c r="V1162" s="0">
        <f>HYPERLINK("https://ec-qa-storage.kldlms.com/ItemGallery/08DCFA79-0E14-4C57-824E-49242063190D/FD231CCF-987E-4300-A666-61BFFAF02A87.png","Gallery Image ")</f>
      </c>
      <c r="W1162" s="0" t="s">
        <v>22</v>
      </c>
      <c r="X1162" s="0" t="s">
        <v>4642</v>
      </c>
    </row>
    <row r="1163">
      <c r="A1163" s="0" t="s">
        <v>4643</v>
      </c>
      <c r="B1163" s="0" t="s">
        <v>4643</v>
      </c>
      <c r="C1163" s="0" t="s">
        <v>4644</v>
      </c>
      <c r="D1163" s="0" t="s">
        <v>27</v>
      </c>
      <c r="E1163" s="0" t="s">
        <v>4450</v>
      </c>
      <c r="F1163" s="0" t="s">
        <v>3120</v>
      </c>
      <c r="G1163" s="0" t="s">
        <v>4643</v>
      </c>
      <c r="H1163" s="0" t="s">
        <v>4643</v>
      </c>
      <c r="I1163" s="0" t="s">
        <v>615</v>
      </c>
      <c r="J1163" s="0" t="s">
        <v>615</v>
      </c>
      <c r="K1163" s="0" t="s">
        <v>4645</v>
      </c>
      <c r="L1163" s="0" t="s">
        <v>32</v>
      </c>
      <c r="M1163" s="0" t="s">
        <v>33</v>
      </c>
      <c r="N1163" s="0" t="s">
        <v>337</v>
      </c>
      <c r="O1163" s="0" t="s">
        <v>35</v>
      </c>
      <c r="P1163" s="0" t="s">
        <v>39</v>
      </c>
      <c r="Q1163" s="0" t="s">
        <v>4646</v>
      </c>
      <c r="R1163" s="0" t="s">
        <v>4644</v>
      </c>
      <c r="S1163" s="0" t="s">
        <v>337</v>
      </c>
      <c r="T1163" s="0">
        <f>HYPERLINK("https://storage.sslt.ae/ItemVariation/08DCFA79-0E70-4515-89E4-D2CF356734AB/7DF7B9E4-CC0F-4DCB-8F51-17199A19B7E6.png","Variant Image")</f>
      </c>
      <c r="U1163" s="0">
        <f>HYPERLINK("https://ec-qa-storage.kldlms.com/Item/08DCFA79-0E70-4515-89E4-D2CF356734AB/BD1BDD68-1454-490B-9ECB-D1A9332B20CE.png","Thumbnail Image")</f>
      </c>
      <c r="V1163" s="0">
        <f>HYPERLINK("https://ec-qa-storage.kldlms.com/ItemGallery/08DCFA79-0E70-4515-89E4-D2CF356734AB/34C2C353-200A-483F-BA8A-8CF629ABAB41.png","Gallery Image ")</f>
      </c>
      <c r="W1163" s="0" t="s">
        <v>22</v>
      </c>
      <c r="X1163" s="0" t="s">
        <v>4647</v>
      </c>
    </row>
    <row r="1164">
      <c r="A1164" s="0" t="s">
        <v>4648</v>
      </c>
      <c r="B1164" s="0" t="s">
        <v>4648</v>
      </c>
      <c r="C1164" s="0" t="s">
        <v>4649</v>
      </c>
      <c r="D1164" s="0" t="s">
        <v>27</v>
      </c>
      <c r="E1164" s="0" t="s">
        <v>4450</v>
      </c>
      <c r="F1164" s="0" t="s">
        <v>3120</v>
      </c>
      <c r="G1164" s="0" t="s">
        <v>4648</v>
      </c>
      <c r="H1164" s="0" t="s">
        <v>4648</v>
      </c>
      <c r="I1164" s="0" t="s">
        <v>615</v>
      </c>
      <c r="J1164" s="0" t="s">
        <v>615</v>
      </c>
      <c r="K1164" s="0" t="s">
        <v>4645</v>
      </c>
      <c r="L1164" s="0" t="s">
        <v>32</v>
      </c>
      <c r="M1164" s="0" t="s">
        <v>33</v>
      </c>
      <c r="N1164" s="0" t="s">
        <v>337</v>
      </c>
      <c r="O1164" s="0" t="s">
        <v>35</v>
      </c>
      <c r="P1164" s="0" t="s">
        <v>39</v>
      </c>
      <c r="Q1164" s="0" t="s">
        <v>4646</v>
      </c>
      <c r="R1164" s="0" t="s">
        <v>4649</v>
      </c>
      <c r="S1164" s="0" t="s">
        <v>337</v>
      </c>
      <c r="T1164" s="0">
        <f>HYPERLINK("https://storage.sslt.ae/ItemVariation/08DCFA79-0ECC-4C9D-8250-9939E4C6645B/3775C11C-B1CD-45EA-BB2D-42FD2A48AB22.png","Variant Image")</f>
      </c>
      <c r="U1164" s="0">
        <f>HYPERLINK("https://ec-qa-storage.kldlms.com/Item/08DCFA79-0ECC-4C9D-8250-9939E4C6645B/3DACCCC3-A663-417B-AF70-F4B1DCF1F78D.png","Thumbnail Image")</f>
      </c>
      <c r="V1164" s="0">
        <f>HYPERLINK("https://ec-qa-storage.kldlms.com/ItemGallery/08DCFA79-0ECC-4C9D-8250-9939E4C6645B/D4CE2FF0-02AB-4D59-A6E9-600D0A6C4629.png","Gallery Image ")</f>
      </c>
      <c r="W1164" s="0" t="s">
        <v>22</v>
      </c>
      <c r="X1164" s="0" t="s">
        <v>4650</v>
      </c>
    </row>
    <row r="1165">
      <c r="A1165" s="0" t="s">
        <v>4651</v>
      </c>
      <c r="B1165" s="0" t="s">
        <v>4651</v>
      </c>
      <c r="C1165" s="0" t="s">
        <v>4652</v>
      </c>
      <c r="D1165" s="0" t="s">
        <v>27</v>
      </c>
      <c r="E1165" s="0" t="s">
        <v>4450</v>
      </c>
      <c r="F1165" s="0" t="s">
        <v>3120</v>
      </c>
      <c r="G1165" s="0" t="s">
        <v>4651</v>
      </c>
      <c r="H1165" s="0" t="s">
        <v>4651</v>
      </c>
      <c r="I1165" s="0" t="s">
        <v>615</v>
      </c>
      <c r="J1165" s="0" t="s">
        <v>615</v>
      </c>
      <c r="K1165" s="0" t="s">
        <v>4653</v>
      </c>
      <c r="L1165" s="0" t="s">
        <v>32</v>
      </c>
      <c r="M1165" s="0" t="s">
        <v>33</v>
      </c>
      <c r="N1165" s="0" t="s">
        <v>164</v>
      </c>
      <c r="O1165" s="0" t="s">
        <v>35</v>
      </c>
      <c r="P1165" s="0" t="s">
        <v>39</v>
      </c>
      <c r="Q1165" s="0" t="s">
        <v>4654</v>
      </c>
      <c r="R1165" s="0" t="s">
        <v>4652</v>
      </c>
      <c r="S1165" s="0" t="s">
        <v>164</v>
      </c>
      <c r="T1165" s="0">
        <f>HYPERLINK("https://storage.sslt.ae/ItemVariation/08DCFA79-0F2A-477E-8560-4E4C677321DE/38AE13D6-41F8-4C33-84D4-48EDF7187431.png","Variant Image")</f>
      </c>
      <c r="U1165" s="0">
        <f>HYPERLINK("https://ec-qa-storage.kldlms.com/Item/08DCFA79-0F2A-477E-8560-4E4C677321DE/A295F037-A979-46B0-8902-8E929DC4E6CA.png","Thumbnail Image")</f>
      </c>
      <c r="V1165" s="0">
        <f>HYPERLINK("https://ec-qa-storage.kldlms.com/ItemGallery/08DCFA79-0F2A-477E-8560-4E4C677321DE/293D3BD3-9E1F-470C-8FA6-AE8035D74E7E.png","Gallery Image ")</f>
      </c>
      <c r="W1165" s="0" t="s">
        <v>22</v>
      </c>
      <c r="X1165" s="0" t="s">
        <v>4655</v>
      </c>
    </row>
    <row r="1166">
      <c r="A1166" s="0" t="s">
        <v>4656</v>
      </c>
      <c r="B1166" s="0" t="s">
        <v>4656</v>
      </c>
      <c r="C1166" s="0" t="s">
        <v>4657</v>
      </c>
      <c r="D1166" s="0" t="s">
        <v>27</v>
      </c>
      <c r="E1166" s="0" t="s">
        <v>4450</v>
      </c>
      <c r="F1166" s="0" t="s">
        <v>3137</v>
      </c>
      <c r="G1166" s="0" t="s">
        <v>4656</v>
      </c>
      <c r="H1166" s="0" t="s">
        <v>4656</v>
      </c>
      <c r="I1166" s="0" t="s">
        <v>4658</v>
      </c>
      <c r="J1166" s="0" t="s">
        <v>4658</v>
      </c>
      <c r="K1166" s="0" t="s">
        <v>1385</v>
      </c>
      <c r="L1166" s="0" t="s">
        <v>32</v>
      </c>
      <c r="M1166" s="0" t="s">
        <v>61</v>
      </c>
      <c r="N1166" s="0" t="s">
        <v>854</v>
      </c>
      <c r="O1166" s="0" t="s">
        <v>35</v>
      </c>
      <c r="P1166" s="0" t="s">
        <v>39</v>
      </c>
      <c r="Q1166" s="0" t="s">
        <v>1385</v>
      </c>
      <c r="R1166" s="0" t="s">
        <v>4657</v>
      </c>
      <c r="S1166" s="0" t="s">
        <v>32</v>
      </c>
      <c r="T1166" s="0">
        <f>HYPERLINK("https://ec-qa-storage.kldlms.com/ItemVariation/08DCFA79-0F85-411B-8833-8322E4DDDE16/C2FEF204-D6A5-46E2-9C95-95F09FF8360A.jpg","Variant Image")</f>
      </c>
      <c r="U1166" s="0">
        <f>HYPERLINK("https://ec-qa-storage.kldlms.com/Item/08DCFA79-0F85-411B-8833-8322E4DDDE16/34946B3A-FBED-4DCA-80D5-C32F72618C71.jpg","Thumbnail Image")</f>
      </c>
      <c r="V1166" s="0">
        <f>HYPERLINK("https://ec-qa-storage.kldlms.com/ItemGallery/08DCFA79-0F85-411B-8833-8322E4DDDE16/3F3F9025-5DCB-4D16-9C53-2F7B4391C456.jpg","Gallery Image ")</f>
      </c>
      <c r="W1166" s="0" t="s">
        <v>22</v>
      </c>
    </row>
    <row r="1167">
      <c r="A1167" s="0" t="s">
        <v>4659</v>
      </c>
      <c r="B1167" s="0" t="s">
        <v>4659</v>
      </c>
      <c r="C1167" s="0" t="s">
        <v>4660</v>
      </c>
      <c r="D1167" s="0" t="s">
        <v>27</v>
      </c>
      <c r="E1167" s="0" t="s">
        <v>4661</v>
      </c>
      <c r="F1167" s="0" t="s">
        <v>3137</v>
      </c>
      <c r="G1167" s="0" t="s">
        <v>4659</v>
      </c>
      <c r="H1167" s="0" t="s">
        <v>4659</v>
      </c>
      <c r="I1167" s="0" t="s">
        <v>4662</v>
      </c>
      <c r="J1167" s="0" t="s">
        <v>4662</v>
      </c>
      <c r="K1167" s="0" t="s">
        <v>4663</v>
      </c>
      <c r="L1167" s="0" t="s">
        <v>32</v>
      </c>
      <c r="M1167" s="0" t="s">
        <v>61</v>
      </c>
      <c r="N1167" s="0" t="s">
        <v>160</v>
      </c>
      <c r="O1167" s="0" t="s">
        <v>35</v>
      </c>
      <c r="P1167" s="0" t="s">
        <v>39</v>
      </c>
      <c r="Q1167" s="0" t="s">
        <v>4663</v>
      </c>
      <c r="R1167" s="0" t="s">
        <v>4660</v>
      </c>
      <c r="S1167" s="0" t="s">
        <v>32</v>
      </c>
      <c r="T1167" s="0">
        <f>HYPERLINK("https://ec-qa-storage.kldlms.com/ItemVariation/08DCFA79-0FE0-4D15-8C1B-06CD626BE01A/A784745D-979C-4960-8BF7-0D3DA1D74110.jpg","Variant Image")</f>
      </c>
      <c r="U1167" s="0">
        <f>HYPERLINK("https://ec-qa-storage.kldlms.com/Item/08DCFA79-0FE0-4D15-8C1B-06CD626BE01A/C7F89150-4DFE-43A2-9559-60F96E4CF8CE.jpg","Thumbnail Image")</f>
      </c>
      <c r="V1167" s="0">
        <f>HYPERLINK("https://ec-qa-storage.kldlms.com/ItemGallery/08DCFA79-0FE0-4D15-8C1B-06CD626BE01A/94DC6866-CD7B-47E2-AAD0-840A3BE88258.jpg","Gallery Image ")</f>
      </c>
      <c r="W1167" s="0" t="s">
        <v>22</v>
      </c>
    </row>
    <row r="1168">
      <c r="A1168" s="0" t="s">
        <v>4659</v>
      </c>
      <c r="B1168" s="0" t="s">
        <v>4659</v>
      </c>
      <c r="C1168" s="0" t="s">
        <v>4664</v>
      </c>
      <c r="D1168" s="0" t="s">
        <v>27</v>
      </c>
      <c r="E1168" s="0" t="s">
        <v>4661</v>
      </c>
      <c r="F1168" s="0" t="s">
        <v>3137</v>
      </c>
      <c r="G1168" s="0" t="s">
        <v>4659</v>
      </c>
      <c r="H1168" s="0" t="s">
        <v>4659</v>
      </c>
      <c r="I1168" s="0" t="s">
        <v>4662</v>
      </c>
      <c r="J1168" s="0" t="s">
        <v>4662</v>
      </c>
      <c r="K1168" s="0" t="s">
        <v>4665</v>
      </c>
      <c r="L1168" s="0" t="s">
        <v>32</v>
      </c>
      <c r="M1168" s="0" t="s">
        <v>61</v>
      </c>
      <c r="N1168" s="0" t="s">
        <v>232</v>
      </c>
      <c r="O1168" s="0" t="s">
        <v>35</v>
      </c>
      <c r="P1168" s="0" t="s">
        <v>39</v>
      </c>
      <c r="Q1168" s="0" t="s">
        <v>4665</v>
      </c>
      <c r="R1168" s="0" t="s">
        <v>4664</v>
      </c>
      <c r="S1168" s="0" t="s">
        <v>32</v>
      </c>
      <c r="T1168" s="0">
        <f>HYPERLINK("https://ec-qa-storage.kldlms.com/ItemVariation/08DCFA79-103D-4843-88C8-E722596F7C38/81D6BC05-F284-4CD2-8B17-591AE1BD369E.jpg","Variant Image")</f>
      </c>
      <c r="U1168" s="0">
        <f>HYPERLINK("https://ec-qa-storage.kldlms.com/Item/08DCFA79-103D-4843-88C8-E722596F7C38/90E1BDA4-4C64-4035-AA1E-4ABC9450670F.jpg","Thumbnail Image")</f>
      </c>
      <c r="V1168" s="0">
        <f>HYPERLINK("https://ec-qa-storage.kldlms.com/ItemGallery/08DCFA79-103D-4843-88C8-E722596F7C38/0442878A-1891-4DA8-8E01-5B506BF3A5A4.jpg","Gallery Image ")</f>
      </c>
      <c r="W1168" s="0" t="s">
        <v>22</v>
      </c>
    </row>
    <row r="1169">
      <c r="A1169" s="0" t="s">
        <v>4666</v>
      </c>
      <c r="B1169" s="0" t="s">
        <v>4666</v>
      </c>
      <c r="C1169" s="0" t="s">
        <v>4667</v>
      </c>
      <c r="D1169" s="0" t="s">
        <v>27</v>
      </c>
      <c r="E1169" s="0" t="s">
        <v>4450</v>
      </c>
      <c r="F1169" s="0" t="s">
        <v>3137</v>
      </c>
      <c r="G1169" s="0" t="s">
        <v>4666</v>
      </c>
      <c r="H1169" s="0" t="s">
        <v>4666</v>
      </c>
      <c r="I1169" s="0" t="s">
        <v>4668</v>
      </c>
      <c r="J1169" s="0" t="s">
        <v>4668</v>
      </c>
      <c r="K1169" s="0" t="s">
        <v>4669</v>
      </c>
      <c r="L1169" s="0" t="s">
        <v>32</v>
      </c>
      <c r="M1169" s="0" t="s">
        <v>61</v>
      </c>
      <c r="N1169" s="0" t="s">
        <v>276</v>
      </c>
      <c r="O1169" s="0" t="s">
        <v>35</v>
      </c>
      <c r="P1169" s="0" t="s">
        <v>39</v>
      </c>
      <c r="Q1169" s="0" t="s">
        <v>4669</v>
      </c>
      <c r="R1169" s="0" t="s">
        <v>4667</v>
      </c>
      <c r="S1169" s="0" t="s">
        <v>32</v>
      </c>
      <c r="T1169" s="0">
        <f>HYPERLINK("https://ec-qa-storage.kldlms.com/ItemVariation/08DCFA79-1098-4013-82C9-1D52CB58B4F4/B0A85FEF-2148-4926-9157-F38250BF4063.jpg","Variant Image")</f>
      </c>
      <c r="U1169" s="0">
        <f>HYPERLINK("https://ec-qa-storage.kldlms.com/Item/08DCFA79-1098-4013-82C9-1D52CB58B4F4/AB81ADAD-7728-4BB0-A036-E08580270C45.jpg","Thumbnail Image")</f>
      </c>
      <c r="V1169" s="0">
        <f>HYPERLINK("https://ec-qa-storage.kldlms.com/ItemGallery/08DCFA79-1098-4013-82C9-1D52CB58B4F4/98D5B2F8-87A8-4BA3-A397-F920FFB98ADB.jpg","Gallery Image ")</f>
      </c>
      <c r="W1169" s="0" t="s">
        <v>22</v>
      </c>
    </row>
    <row r="1170">
      <c r="A1170" s="0" t="s">
        <v>4670</v>
      </c>
      <c r="B1170" s="0" t="s">
        <v>4670</v>
      </c>
      <c r="C1170" s="0" t="s">
        <v>4671</v>
      </c>
      <c r="D1170" s="0" t="s">
        <v>27</v>
      </c>
      <c r="E1170" s="0" t="s">
        <v>79</v>
      </c>
      <c r="F1170" s="0" t="s">
        <v>3120</v>
      </c>
      <c r="G1170" s="0" t="s">
        <v>4670</v>
      </c>
      <c r="H1170" s="0" t="s">
        <v>4670</v>
      </c>
      <c r="I1170" s="0" t="s">
        <v>615</v>
      </c>
      <c r="J1170" s="0" t="s">
        <v>615</v>
      </c>
      <c r="K1170" s="0" t="s">
        <v>4672</v>
      </c>
      <c r="L1170" s="0" t="s">
        <v>32</v>
      </c>
      <c r="M1170" s="0" t="s">
        <v>33</v>
      </c>
      <c r="N1170" s="0" t="s">
        <v>100</v>
      </c>
      <c r="O1170" s="0" t="s">
        <v>35</v>
      </c>
      <c r="P1170" s="0" t="s">
        <v>39</v>
      </c>
      <c r="Q1170" s="0" t="s">
        <v>4673</v>
      </c>
      <c r="R1170" s="0" t="s">
        <v>4671</v>
      </c>
      <c r="S1170" s="0" t="s">
        <v>100</v>
      </c>
      <c r="T1170" s="0">
        <f>HYPERLINK("https://storage.sslt.ae/ItemVariation/08DCFA79-10F3-4D28-8193-BE13E23283BA/8FA96AC3-41AC-418C-A953-77C466DD3A86.png","Variant Image")</f>
      </c>
      <c r="U1170" s="0">
        <f>HYPERLINK("https://ec-qa-storage.kldlms.com/Item/08DCFA79-10F3-4D28-8193-BE13E23283BA/6529ADEF-B002-40A1-880B-F834BBE39833.png","Thumbnail Image")</f>
      </c>
      <c r="V1170" s="0">
        <f>HYPERLINK("https://ec-qa-storage.kldlms.com/ItemGallery/08DCFA79-10F3-4D28-8193-BE13E23283BA/210B8DAC-4205-4572-92A0-F35D83D1464D.png","Gallery Image ")</f>
      </c>
      <c r="W1170" s="0" t="s">
        <v>22</v>
      </c>
      <c r="X1170" s="0" t="s">
        <v>4674</v>
      </c>
    </row>
    <row r="1171">
      <c r="A1171" s="0" t="s">
        <v>4675</v>
      </c>
      <c r="B1171" s="0" t="s">
        <v>4675</v>
      </c>
      <c r="C1171" s="0" t="s">
        <v>4676</v>
      </c>
      <c r="D1171" s="0" t="s">
        <v>27</v>
      </c>
      <c r="E1171" s="0" t="s">
        <v>4364</v>
      </c>
      <c r="F1171" s="0" t="s">
        <v>3137</v>
      </c>
      <c r="G1171" s="0" t="s">
        <v>4675</v>
      </c>
      <c r="H1171" s="0" t="s">
        <v>4675</v>
      </c>
      <c r="I1171" s="0" t="s">
        <v>4677</v>
      </c>
      <c r="J1171" s="0" t="s">
        <v>4677</v>
      </c>
      <c r="K1171" s="0" t="s">
        <v>31</v>
      </c>
      <c r="L1171" s="0" t="s">
        <v>32</v>
      </c>
      <c r="M1171" s="0" t="s">
        <v>61</v>
      </c>
      <c r="N1171" s="0" t="s">
        <v>276</v>
      </c>
      <c r="O1171" s="0" t="s">
        <v>35</v>
      </c>
      <c r="P1171" s="0" t="s">
        <v>39</v>
      </c>
      <c r="Q1171" s="0" t="s">
        <v>31</v>
      </c>
      <c r="R1171" s="0" t="s">
        <v>4676</v>
      </c>
      <c r="S1171" s="0" t="s">
        <v>32</v>
      </c>
      <c r="T1171" s="0">
        <f>HYPERLINK("https://ec-qa-storage.kldlms.com/ItemVariation/08DCFA79-1150-45B7-88A6-B6EE816BBE2E/D6BAB171-5A45-4E8B-BCF3-913BC1A58D35.jpg","Variant Image")</f>
      </c>
      <c r="U1171" s="0">
        <f>HYPERLINK("https://ec-qa-storage.kldlms.com/Item/08DCFA79-1150-45B7-88A6-B6EE816BBE2E/66D13966-7D54-40B3-ACDF-5C772A634A3F.jpg","Thumbnail Image")</f>
      </c>
      <c r="V1171" s="0">
        <f>HYPERLINK("https://ec-qa-storage.kldlms.com/ItemGallery/08DCFA79-1150-45B7-88A6-B6EE816BBE2E/04DB1884-EC21-42ED-95BF-BFAD663A9DB0.webp","Gallery Image ")</f>
      </c>
      <c r="W1171" s="0" t="s">
        <v>22</v>
      </c>
    </row>
    <row r="1172">
      <c r="A1172" s="0" t="s">
        <v>4678</v>
      </c>
      <c r="B1172" s="0" t="s">
        <v>4678</v>
      </c>
      <c r="C1172" s="0" t="s">
        <v>4679</v>
      </c>
      <c r="D1172" s="0" t="s">
        <v>27</v>
      </c>
      <c r="E1172" s="0" t="s">
        <v>4364</v>
      </c>
      <c r="F1172" s="0" t="s">
        <v>3120</v>
      </c>
      <c r="G1172" s="0" t="s">
        <v>4678</v>
      </c>
      <c r="H1172" s="0" t="s">
        <v>4678</v>
      </c>
      <c r="I1172" s="0" t="s">
        <v>615</v>
      </c>
      <c r="J1172" s="0" t="s">
        <v>615</v>
      </c>
      <c r="K1172" s="0" t="s">
        <v>4680</v>
      </c>
      <c r="L1172" s="0" t="s">
        <v>32</v>
      </c>
      <c r="M1172" s="0" t="s">
        <v>33</v>
      </c>
      <c r="N1172" s="0" t="s">
        <v>349</v>
      </c>
      <c r="O1172" s="0" t="s">
        <v>35</v>
      </c>
      <c r="P1172" s="0" t="s">
        <v>39</v>
      </c>
      <c r="Q1172" s="0" t="s">
        <v>4681</v>
      </c>
      <c r="R1172" s="0" t="s">
        <v>4679</v>
      </c>
      <c r="S1172" s="0" t="s">
        <v>349</v>
      </c>
      <c r="T1172" s="0">
        <f>HYPERLINK("https://storage.sslt.ae/ItemVariation/08DCFA79-1228-4BE2-8357-66C4F1DDA0A0/D79FF38C-6CB4-4302-B515-7F4445478764.png","Variant Image")</f>
      </c>
      <c r="U1172" s="0">
        <f>HYPERLINK("https://ec-qa-storage.kldlms.com/Item/08DCFA79-1228-4BE2-8357-66C4F1DDA0A0/70749BA1-0B94-4509-8571-B86EC2B41114.png","Thumbnail Image")</f>
      </c>
      <c r="V1172" s="0">
        <f>HYPERLINK("https://ec-qa-storage.kldlms.com/ItemGallery/08DCFA79-1228-4BE2-8357-66C4F1DDA0A0/4A6DF80E-8862-4E7A-A954-9285A8005CCA.png","Gallery Image ")</f>
      </c>
      <c r="W1172" s="0" t="s">
        <v>22</v>
      </c>
      <c r="X1172" s="0" t="s">
        <v>4682</v>
      </c>
    </row>
    <row r="1173">
      <c r="A1173" s="0" t="s">
        <v>4683</v>
      </c>
      <c r="B1173" s="0" t="s">
        <v>4683</v>
      </c>
      <c r="C1173" s="0" t="s">
        <v>4684</v>
      </c>
      <c r="D1173" s="0" t="s">
        <v>27</v>
      </c>
      <c r="E1173" s="0" t="s">
        <v>4364</v>
      </c>
      <c r="F1173" s="0" t="s">
        <v>3120</v>
      </c>
      <c r="G1173" s="0" t="s">
        <v>4683</v>
      </c>
      <c r="H1173" s="0" t="s">
        <v>4683</v>
      </c>
      <c r="I1173" s="0" t="s">
        <v>615</v>
      </c>
      <c r="J1173" s="0" t="s">
        <v>615</v>
      </c>
      <c r="K1173" s="0" t="s">
        <v>680</v>
      </c>
      <c r="L1173" s="0" t="s">
        <v>32</v>
      </c>
      <c r="M1173" s="0" t="s">
        <v>33</v>
      </c>
      <c r="N1173" s="0" t="s">
        <v>1106</v>
      </c>
      <c r="O1173" s="0" t="s">
        <v>35</v>
      </c>
      <c r="P1173" s="0" t="s">
        <v>39</v>
      </c>
      <c r="Q1173" s="0" t="s">
        <v>3954</v>
      </c>
      <c r="R1173" s="0" t="s">
        <v>4684</v>
      </c>
      <c r="S1173" s="0" t="s">
        <v>1106</v>
      </c>
      <c r="T1173" s="0">
        <f>HYPERLINK("https://storage.sslt.ae/ItemVariation/08DCFA79-1283-45B1-80D2-560F1230BFA4/C4A4D21D-0CE6-47A2-B071-3DA02B3E5CD3.png","Variant Image")</f>
      </c>
      <c r="U1173" s="0">
        <f>HYPERLINK("https://ec-qa-storage.kldlms.com/Item/08DCFA79-1283-45B1-80D2-560F1230BFA4/5F24FB8F-6D71-4C4C-A54C-EDAD27D8B82B.png","Thumbnail Image")</f>
      </c>
      <c r="V1173" s="0">
        <f>HYPERLINK("https://ec-qa-storage.kldlms.com/ItemGallery/08DCFA79-1283-45B1-80D2-560F1230BFA4/0A1A9FC6-F86D-4B1D-817C-3F5E2AB1C47D.png","Gallery Image ")</f>
      </c>
      <c r="W1173" s="0" t="s">
        <v>22</v>
      </c>
      <c r="X1173" s="0" t="s">
        <v>4685</v>
      </c>
    </row>
    <row r="1174">
      <c r="A1174" s="0" t="s">
        <v>4686</v>
      </c>
      <c r="B1174" s="0" t="s">
        <v>4686</v>
      </c>
      <c r="C1174" s="0" t="s">
        <v>4687</v>
      </c>
      <c r="D1174" s="0" t="s">
        <v>27</v>
      </c>
      <c r="E1174" s="0" t="s">
        <v>4364</v>
      </c>
      <c r="F1174" s="0" t="s">
        <v>3120</v>
      </c>
      <c r="G1174" s="0" t="s">
        <v>4686</v>
      </c>
      <c r="H1174" s="0" t="s">
        <v>4686</v>
      </c>
      <c r="I1174" s="0" t="s">
        <v>615</v>
      </c>
      <c r="J1174" s="0" t="s">
        <v>615</v>
      </c>
      <c r="K1174" s="0" t="s">
        <v>761</v>
      </c>
      <c r="L1174" s="0" t="s">
        <v>32</v>
      </c>
      <c r="M1174" s="0" t="s">
        <v>33</v>
      </c>
      <c r="N1174" s="0" t="s">
        <v>2192</v>
      </c>
      <c r="O1174" s="0" t="s">
        <v>35</v>
      </c>
      <c r="P1174" s="0" t="s">
        <v>39</v>
      </c>
      <c r="Q1174" s="0" t="s">
        <v>4287</v>
      </c>
      <c r="R1174" s="0" t="s">
        <v>4687</v>
      </c>
      <c r="S1174" s="0" t="s">
        <v>2192</v>
      </c>
      <c r="T1174" s="0">
        <f>HYPERLINK("https://storage.sslt.ae/ItemVariation/08DCFA79-12DF-43A4-8C0C-D307E2B4C495/1FC4F134-05DD-45C1-850E-3C37E788F493.png","Variant Image")</f>
      </c>
      <c r="U1174" s="0">
        <f>HYPERLINK("https://ec-qa-storage.kldlms.com/Item/08DCFA79-12DF-43A4-8C0C-D307E2B4C495/4064F8B8-1DE4-4D40-AA34-BEA815497E35.png","Thumbnail Image")</f>
      </c>
      <c r="V1174" s="0">
        <f>HYPERLINK("https://ec-qa-storage.kldlms.com/ItemGallery/08DCFA79-12DF-43A4-8C0C-D307E2B4C495/BDCFC040-4D44-4D24-803C-23ACD96005C7.png","Gallery Image ")</f>
      </c>
      <c r="W1174" s="0" t="s">
        <v>22</v>
      </c>
      <c r="X1174" s="0" t="s">
        <v>4688</v>
      </c>
    </row>
    <row r="1175">
      <c r="A1175" s="0" t="s">
        <v>4689</v>
      </c>
      <c r="B1175" s="0" t="s">
        <v>4689</v>
      </c>
      <c r="C1175" s="0" t="s">
        <v>4690</v>
      </c>
      <c r="D1175" s="0" t="s">
        <v>27</v>
      </c>
      <c r="E1175" s="0" t="s">
        <v>4364</v>
      </c>
      <c r="F1175" s="0" t="s">
        <v>3120</v>
      </c>
      <c r="G1175" s="0" t="s">
        <v>4689</v>
      </c>
      <c r="H1175" s="0" t="s">
        <v>4689</v>
      </c>
      <c r="I1175" s="0" t="s">
        <v>615</v>
      </c>
      <c r="J1175" s="0" t="s">
        <v>615</v>
      </c>
      <c r="K1175" s="0" t="s">
        <v>4691</v>
      </c>
      <c r="L1175" s="0" t="s">
        <v>32</v>
      </c>
      <c r="M1175" s="0" t="s">
        <v>33</v>
      </c>
      <c r="N1175" s="0" t="s">
        <v>4692</v>
      </c>
      <c r="O1175" s="0" t="s">
        <v>35</v>
      </c>
      <c r="P1175" s="0" t="s">
        <v>39</v>
      </c>
      <c r="Q1175" s="0" t="s">
        <v>4693</v>
      </c>
      <c r="R1175" s="0" t="s">
        <v>4690</v>
      </c>
      <c r="S1175" s="0" t="s">
        <v>4692</v>
      </c>
      <c r="T1175" s="0">
        <f>HYPERLINK("https://storage.sslt.ae/ItemVariation/08DCFA79-133A-4A05-89CF-592AD932EA84/B8DAD6C1-2DFD-4858-97FC-3C5367C75C91.png","Variant Image")</f>
      </c>
      <c r="U1175" s="0">
        <f>HYPERLINK("https://ec-qa-storage.kldlms.com/Item/08DCFA79-133A-4A05-89CF-592AD932EA84/CB57B6C7-D3FF-430D-B0F4-2DCB38672EFE.png","Thumbnail Image")</f>
      </c>
      <c r="V1175" s="0">
        <f>HYPERLINK("https://ec-qa-storage.kldlms.com/ItemGallery/08DCFA79-133A-4A05-89CF-592AD932EA84/DDD624DF-E704-499E-9050-131CF6F718BF.png","Gallery Image ")</f>
      </c>
      <c r="W1175" s="0" t="s">
        <v>22</v>
      </c>
      <c r="X1175" s="0" t="s">
        <v>4694</v>
      </c>
    </row>
    <row r="1176">
      <c r="A1176" s="0" t="s">
        <v>4695</v>
      </c>
      <c r="B1176" s="0" t="s">
        <v>4695</v>
      </c>
      <c r="C1176" s="0" t="s">
        <v>4696</v>
      </c>
      <c r="D1176" s="0" t="s">
        <v>27</v>
      </c>
      <c r="E1176" s="0" t="s">
        <v>79</v>
      </c>
      <c r="F1176" s="0" t="s">
        <v>3120</v>
      </c>
      <c r="G1176" s="0" t="s">
        <v>4695</v>
      </c>
      <c r="H1176" s="0" t="s">
        <v>4695</v>
      </c>
      <c r="I1176" s="0" t="s">
        <v>615</v>
      </c>
      <c r="J1176" s="0" t="s">
        <v>615</v>
      </c>
      <c r="K1176" s="0" t="s">
        <v>3474</v>
      </c>
      <c r="L1176" s="0" t="s">
        <v>32</v>
      </c>
      <c r="M1176" s="0" t="s">
        <v>33</v>
      </c>
      <c r="N1176" s="0" t="s">
        <v>142</v>
      </c>
      <c r="O1176" s="0" t="s">
        <v>35</v>
      </c>
      <c r="P1176" s="0" t="s">
        <v>39</v>
      </c>
      <c r="Q1176" s="0" t="s">
        <v>3475</v>
      </c>
      <c r="R1176" s="0" t="s">
        <v>4696</v>
      </c>
      <c r="S1176" s="0" t="s">
        <v>142</v>
      </c>
      <c r="T1176" s="0">
        <f>HYPERLINK("https://storage.sslt.ae/ItemVariation/08DCFA79-1396-47E4-8D19-6E4FDBDCFD4B/3B11EA42-36C8-40F9-BCCF-C5F9718ECAC7.png","Variant Image")</f>
      </c>
      <c r="U1176" s="0">
        <f>HYPERLINK("https://ec-qa-storage.kldlms.com/Item/08DCFA79-1396-47E4-8D19-6E4FDBDCFD4B/65C40554-0537-40E9-B557-81EC73127AB6.png","Thumbnail Image")</f>
      </c>
      <c r="V1176" s="0">
        <f>HYPERLINK("https://ec-qa-storage.kldlms.com/ItemGallery/08DCFA79-1396-47E4-8D19-6E4FDBDCFD4B/81AA4471-BA04-490C-B082-5442F0FE7307.png","Gallery Image ")</f>
      </c>
      <c r="W1176" s="0" t="s">
        <v>22</v>
      </c>
      <c r="X1176" s="0" t="s">
        <v>4697</v>
      </c>
    </row>
    <row r="1177">
      <c r="A1177" s="0" t="s">
        <v>4698</v>
      </c>
      <c r="B1177" s="0" t="s">
        <v>4698</v>
      </c>
      <c r="C1177" s="0" t="s">
        <v>4699</v>
      </c>
      <c r="D1177" s="0" t="s">
        <v>27</v>
      </c>
      <c r="E1177" s="0" t="s">
        <v>79</v>
      </c>
      <c r="F1177" s="0" t="s">
        <v>3120</v>
      </c>
      <c r="G1177" s="0" t="s">
        <v>4698</v>
      </c>
      <c r="H1177" s="0" t="s">
        <v>4698</v>
      </c>
      <c r="I1177" s="0" t="s">
        <v>615</v>
      </c>
      <c r="J1177" s="0" t="s">
        <v>615</v>
      </c>
      <c r="K1177" s="0" t="s">
        <v>3706</v>
      </c>
      <c r="L1177" s="0" t="s">
        <v>32</v>
      </c>
      <c r="M1177" s="0" t="s">
        <v>33</v>
      </c>
      <c r="N1177" s="0" t="s">
        <v>4700</v>
      </c>
      <c r="O1177" s="0" t="s">
        <v>35</v>
      </c>
      <c r="P1177" s="0" t="s">
        <v>39</v>
      </c>
      <c r="Q1177" s="0" t="s">
        <v>3707</v>
      </c>
      <c r="R1177" s="0" t="s">
        <v>4699</v>
      </c>
      <c r="S1177" s="0" t="s">
        <v>4700</v>
      </c>
      <c r="T1177" s="0">
        <f>HYPERLINK("https://storage.sslt.ae/ItemVariation/08DCFA79-13F2-4989-878D-9E818A1F839C/1529DA5F-4CA7-4069-8F9E-BD27038B7BF8.png","Variant Image")</f>
      </c>
      <c r="U1177" s="0">
        <f>HYPERLINK("https://ec-qa-storage.kldlms.com/Item/08DCFA79-13F2-4989-878D-9E818A1F839C/D3DE3A84-BC59-4A67-9C47-557700CADDBE.png","Thumbnail Image")</f>
      </c>
      <c r="V1177" s="0">
        <f>HYPERLINK("https://ec-qa-storage.kldlms.com/ItemGallery/08DCFA79-13F2-4989-878D-9E818A1F839C/5C76E2B3-F9A4-4D57-80F2-2B5353CDB63E.png","Gallery Image ")</f>
      </c>
      <c r="W1177" s="0" t="s">
        <v>22</v>
      </c>
      <c r="X1177" s="0" t="s">
        <v>4701</v>
      </c>
    </row>
    <row r="1178">
      <c r="A1178" s="0" t="s">
        <v>4702</v>
      </c>
      <c r="B1178" s="0" t="s">
        <v>4702</v>
      </c>
      <c r="C1178" s="0" t="s">
        <v>4703</v>
      </c>
      <c r="D1178" s="0" t="s">
        <v>27</v>
      </c>
      <c r="E1178" s="0" t="s">
        <v>4450</v>
      </c>
      <c r="F1178" s="0" t="s">
        <v>3120</v>
      </c>
      <c r="G1178" s="0" t="s">
        <v>4702</v>
      </c>
      <c r="H1178" s="0" t="s">
        <v>4702</v>
      </c>
      <c r="I1178" s="0" t="s">
        <v>615</v>
      </c>
      <c r="J1178" s="0" t="s">
        <v>615</v>
      </c>
      <c r="K1178" s="0" t="s">
        <v>4704</v>
      </c>
      <c r="L1178" s="0" t="s">
        <v>32</v>
      </c>
      <c r="M1178" s="0" t="s">
        <v>33</v>
      </c>
      <c r="N1178" s="0" t="s">
        <v>404</v>
      </c>
      <c r="O1178" s="0" t="s">
        <v>35</v>
      </c>
      <c r="P1178" s="0" t="s">
        <v>39</v>
      </c>
      <c r="Q1178" s="0" t="s">
        <v>4705</v>
      </c>
      <c r="R1178" s="0" t="s">
        <v>4703</v>
      </c>
      <c r="S1178" s="0" t="s">
        <v>404</v>
      </c>
      <c r="T1178" s="0">
        <f>HYPERLINK("https://storage.sslt.ae/ItemVariation/08DCFA79-144E-4068-8BD6-AE73833C0AA3/773C0504-76E4-4AC8-B214-CD4A9B16977E.png","Variant Image")</f>
      </c>
      <c r="U1178" s="0">
        <f>HYPERLINK("https://ec-qa-storage.kldlms.com/Item/08DCFA79-144E-4068-8BD6-AE73833C0AA3/7AE88FF0-1FEE-4FA5-A48C-7CF0DF41CDFF.png","Thumbnail Image")</f>
      </c>
      <c r="V1178" s="0">
        <f>HYPERLINK("https://ec-qa-storage.kldlms.com/ItemGallery/08DCFA79-144E-4068-8BD6-AE73833C0AA3/7FA5B88C-A032-4357-8174-E037763020B8.png","Gallery Image ")</f>
      </c>
      <c r="W1178" s="0" t="s">
        <v>22</v>
      </c>
      <c r="X1178" s="0" t="s">
        <v>4706</v>
      </c>
    </row>
    <row r="1179">
      <c r="A1179" s="0" t="s">
        <v>4707</v>
      </c>
      <c r="B1179" s="0" t="s">
        <v>4707</v>
      </c>
      <c r="C1179" s="0" t="s">
        <v>4708</v>
      </c>
      <c r="D1179" s="0" t="s">
        <v>27</v>
      </c>
      <c r="E1179" s="0" t="s">
        <v>4450</v>
      </c>
      <c r="F1179" s="0" t="s">
        <v>3120</v>
      </c>
      <c r="G1179" s="0" t="s">
        <v>4707</v>
      </c>
      <c r="H1179" s="0" t="s">
        <v>4707</v>
      </c>
      <c r="I1179" s="0" t="s">
        <v>615</v>
      </c>
      <c r="J1179" s="0" t="s">
        <v>615</v>
      </c>
      <c r="K1179" s="0" t="s">
        <v>4709</v>
      </c>
      <c r="L1179" s="0" t="s">
        <v>32</v>
      </c>
      <c r="M1179" s="0" t="s">
        <v>33</v>
      </c>
      <c r="N1179" s="0" t="s">
        <v>232</v>
      </c>
      <c r="O1179" s="0" t="s">
        <v>35</v>
      </c>
      <c r="P1179" s="0" t="s">
        <v>39</v>
      </c>
      <c r="Q1179" s="0" t="s">
        <v>4710</v>
      </c>
      <c r="R1179" s="0" t="s">
        <v>4708</v>
      </c>
      <c r="S1179" s="0" t="s">
        <v>232</v>
      </c>
      <c r="T1179" s="0">
        <f>HYPERLINK("https://storage.sslt.ae/ItemVariation/08DCFA79-14AA-477D-8969-736AC16C8C6E/18924D0E-33CB-4167-B7AE-BA8B00020F17.png","Variant Image")</f>
      </c>
      <c r="U1179" s="0">
        <f>HYPERLINK("https://ec-qa-storage.kldlms.com/Item/08DCFA79-14AA-477D-8969-736AC16C8C6E/496C753C-37FE-4DAB-9185-789C0C06808A.png","Thumbnail Image")</f>
      </c>
      <c r="V1179" s="0">
        <f>HYPERLINK("https://ec-qa-storage.kldlms.com/ItemGallery/08DCFA79-14AA-477D-8969-736AC16C8C6E/55BA9BE5-E729-4DCD-A686-B3B2789FA5CE.png","Gallery Image ")</f>
      </c>
      <c r="W1179" s="0" t="s">
        <v>22</v>
      </c>
      <c r="X1179" s="0" t="s">
        <v>4711</v>
      </c>
    </row>
    <row r="1180">
      <c r="A1180" s="0" t="s">
        <v>4712</v>
      </c>
      <c r="B1180" s="0" t="s">
        <v>4712</v>
      </c>
      <c r="C1180" s="0" t="s">
        <v>4713</v>
      </c>
      <c r="D1180" s="0" t="s">
        <v>27</v>
      </c>
      <c r="E1180" s="0" t="s">
        <v>79</v>
      </c>
      <c r="F1180" s="0" t="s">
        <v>3120</v>
      </c>
      <c r="G1180" s="0" t="s">
        <v>4712</v>
      </c>
      <c r="H1180" s="0" t="s">
        <v>4712</v>
      </c>
      <c r="I1180" s="0" t="s">
        <v>615</v>
      </c>
      <c r="J1180" s="0" t="s">
        <v>615</v>
      </c>
      <c r="K1180" s="0" t="s">
        <v>3000</v>
      </c>
      <c r="L1180" s="0" t="s">
        <v>32</v>
      </c>
      <c r="M1180" s="0" t="s">
        <v>33</v>
      </c>
      <c r="N1180" s="0" t="s">
        <v>837</v>
      </c>
      <c r="O1180" s="0" t="s">
        <v>35</v>
      </c>
      <c r="P1180" s="0" t="s">
        <v>39</v>
      </c>
      <c r="Q1180" s="0" t="s">
        <v>3001</v>
      </c>
      <c r="R1180" s="0" t="s">
        <v>4713</v>
      </c>
      <c r="S1180" s="0" t="s">
        <v>837</v>
      </c>
      <c r="T1180" s="0">
        <f>HYPERLINK("https://storage.sslt.ae/ItemVariation/08DCFA79-1505-4C5B-85D0-A17A0FC50E40/A4EB4C90-5FB9-4159-BB88-F58716E323CD.png","Variant Image")</f>
      </c>
      <c r="U1180" s="0">
        <f>HYPERLINK("https://ec-qa-storage.kldlms.com/Item/08DCFA79-1505-4C5B-85D0-A17A0FC50E40/8FB8104C-99E4-46A9-A99B-A3D4B2C4F3FB.png","Thumbnail Image")</f>
      </c>
      <c r="V1180" s="0">
        <f>HYPERLINK("https://ec-qa-storage.kldlms.com/ItemGallery/08DCFA79-1505-4C5B-85D0-A17A0FC50E40/A5999F8F-A8D9-4785-9D31-686C864A40EF.png","Gallery Image ")</f>
      </c>
      <c r="W1180" s="0" t="s">
        <v>22</v>
      </c>
      <c r="X1180" s="0" t="s">
        <v>4714</v>
      </c>
    </row>
    <row r="1181">
      <c r="A1181" s="0" t="s">
        <v>4715</v>
      </c>
      <c r="B1181" s="0" t="s">
        <v>4715</v>
      </c>
      <c r="C1181" s="0" t="s">
        <v>4716</v>
      </c>
      <c r="D1181" s="0" t="s">
        <v>27</v>
      </c>
      <c r="E1181" s="0" t="s">
        <v>4450</v>
      </c>
      <c r="F1181" s="0" t="s">
        <v>3120</v>
      </c>
      <c r="G1181" s="0" t="s">
        <v>4715</v>
      </c>
      <c r="H1181" s="0" t="s">
        <v>4715</v>
      </c>
      <c r="I1181" s="0" t="s">
        <v>615</v>
      </c>
      <c r="J1181" s="0" t="s">
        <v>615</v>
      </c>
      <c r="K1181" s="0" t="s">
        <v>4692</v>
      </c>
      <c r="L1181" s="0" t="s">
        <v>32</v>
      </c>
      <c r="M1181" s="0" t="s">
        <v>33</v>
      </c>
      <c r="N1181" s="0" t="s">
        <v>4717</v>
      </c>
      <c r="O1181" s="0" t="s">
        <v>35</v>
      </c>
      <c r="P1181" s="0" t="s">
        <v>39</v>
      </c>
      <c r="Q1181" s="0" t="s">
        <v>4718</v>
      </c>
      <c r="R1181" s="0" t="s">
        <v>4716</v>
      </c>
      <c r="S1181" s="0" t="s">
        <v>4717</v>
      </c>
      <c r="T1181" s="0">
        <f>HYPERLINK("https://storage.sslt.ae/ItemVariation/08DCFA79-1561-471A-8F3C-B090C4283A79/AAD909C7-474C-49FA-9E09-D1C9CF322848.png","Variant Image")</f>
      </c>
      <c r="U1181" s="0">
        <f>HYPERLINK("https://ec-qa-storage.kldlms.com/Item/08DCFA79-1561-471A-8F3C-B090C4283A79/D28B0EDE-3046-4382-996B-F420F7586B10.png","Thumbnail Image")</f>
      </c>
      <c r="V1181" s="0">
        <f>HYPERLINK("https://ec-qa-storage.kldlms.com/ItemGallery/08DCFA79-1561-471A-8F3C-B090C4283A79/9A0FF72C-58A6-4AA6-91C9-32CC7A6DDDB3.png","Gallery Image ")</f>
      </c>
      <c r="W1181" s="0" t="s">
        <v>22</v>
      </c>
      <c r="X1181" s="0" t="s">
        <v>4719</v>
      </c>
    </row>
    <row r="1182">
      <c r="A1182" s="0" t="s">
        <v>4720</v>
      </c>
      <c r="B1182" s="0" t="s">
        <v>4720</v>
      </c>
      <c r="C1182" s="0" t="s">
        <v>4721</v>
      </c>
      <c r="D1182" s="0" t="s">
        <v>27</v>
      </c>
      <c r="E1182" s="0" t="s">
        <v>79</v>
      </c>
      <c r="F1182" s="0" t="s">
        <v>3120</v>
      </c>
      <c r="G1182" s="0" t="s">
        <v>4720</v>
      </c>
      <c r="H1182" s="0" t="s">
        <v>4720</v>
      </c>
      <c r="I1182" s="0" t="s">
        <v>615</v>
      </c>
      <c r="J1182" s="0" t="s">
        <v>615</v>
      </c>
      <c r="K1182" s="0" t="s">
        <v>4722</v>
      </c>
      <c r="L1182" s="0" t="s">
        <v>32</v>
      </c>
      <c r="M1182" s="0" t="s">
        <v>33</v>
      </c>
      <c r="N1182" s="0" t="s">
        <v>4723</v>
      </c>
      <c r="O1182" s="0" t="s">
        <v>35</v>
      </c>
      <c r="P1182" s="0" t="s">
        <v>39</v>
      </c>
      <c r="Q1182" s="0" t="s">
        <v>4724</v>
      </c>
      <c r="R1182" s="0" t="s">
        <v>4721</v>
      </c>
      <c r="S1182" s="0" t="s">
        <v>4723</v>
      </c>
      <c r="T1182" s="0">
        <f>HYPERLINK("https://storage.sslt.ae/ItemVariation/08DCFA79-15BD-4EAC-8D70-2FF2EB701DFF/881793EA-77DE-49BC-B69C-6C8928DBA695.png","Variant Image")</f>
      </c>
      <c r="U1182" s="0">
        <f>HYPERLINK("https://ec-qa-storage.kldlms.com/Item/08DCFA79-15BD-4EAC-8D70-2FF2EB701DFF/6CBDC247-B9F2-4BAB-9F15-ACF2D417F278.png","Thumbnail Image")</f>
      </c>
      <c r="V1182" s="0">
        <f>HYPERLINK("https://ec-qa-storage.kldlms.com/ItemGallery/08DCFA79-15BD-4EAC-8D70-2FF2EB701DFF/7E0AC671-62A5-4496-B83B-201685FEEB59.png","Gallery Image ")</f>
      </c>
      <c r="W1182" s="0" t="s">
        <v>22</v>
      </c>
      <c r="X1182" s="0" t="s">
        <v>4725</v>
      </c>
    </row>
    <row r="1183">
      <c r="A1183" s="0" t="s">
        <v>4726</v>
      </c>
      <c r="B1183" s="0" t="s">
        <v>4726</v>
      </c>
      <c r="C1183" s="0" t="s">
        <v>4727</v>
      </c>
      <c r="D1183" s="0" t="s">
        <v>27</v>
      </c>
      <c r="E1183" s="0" t="s">
        <v>4728</v>
      </c>
      <c r="F1183" s="0" t="s">
        <v>557</v>
      </c>
      <c r="G1183" s="0" t="s">
        <v>4726</v>
      </c>
      <c r="H1183" s="0" t="s">
        <v>4726</v>
      </c>
      <c r="I1183" s="0" t="s">
        <v>615</v>
      </c>
      <c r="J1183" s="0" t="s">
        <v>615</v>
      </c>
      <c r="K1183" s="0" t="s">
        <v>4729</v>
      </c>
      <c r="L1183" s="0" t="s">
        <v>32</v>
      </c>
      <c r="M1183" s="0" t="s">
        <v>33</v>
      </c>
      <c r="N1183" s="0" t="s">
        <v>276</v>
      </c>
      <c r="O1183" s="0" t="s">
        <v>35</v>
      </c>
      <c r="P1183" s="0" t="s">
        <v>39</v>
      </c>
      <c r="Q1183" s="0" t="s">
        <v>4730</v>
      </c>
      <c r="R1183" s="0" t="s">
        <v>4727</v>
      </c>
      <c r="S1183" s="0" t="s">
        <v>276</v>
      </c>
      <c r="T1183" s="0">
        <f>HYPERLINK("https://storage.sslt.ae/ItemVariation/08DCFA79-40EE-4521-82E1-30FC17429A63/37E096EA-A1A8-406A-A95B-C773442D3099.png","Variant Image")</f>
      </c>
      <c r="U1183" s="0">
        <f>HYPERLINK("https://ec-qa-storage.kldlms.com/Item/08DCFA79-40EE-4521-82E1-30FC17429A63/E3F863D7-E789-4F4B-A69C-8CFE2288056B.png","Thumbnail Image")</f>
      </c>
      <c r="V1183" s="0">
        <f>HYPERLINK("https://ec-qa-storage.kldlms.com/ItemGallery/08DCFA79-40EE-4521-82E1-30FC17429A63/370B31EE-EF60-4F90-AF20-FA66A604D185.png","Gallery Image ")</f>
      </c>
      <c r="W1183" s="0" t="s">
        <v>22</v>
      </c>
      <c r="X1183" s="0" t="s">
        <v>4731</v>
      </c>
    </row>
    <row r="1184">
      <c r="A1184" s="0" t="s">
        <v>4732</v>
      </c>
      <c r="B1184" s="0" t="s">
        <v>4732</v>
      </c>
      <c r="C1184" s="0" t="s">
        <v>4733</v>
      </c>
      <c r="D1184" s="0" t="s">
        <v>27</v>
      </c>
      <c r="E1184" s="0" t="s">
        <v>4728</v>
      </c>
      <c r="F1184" s="0" t="s">
        <v>557</v>
      </c>
      <c r="G1184" s="0" t="s">
        <v>4732</v>
      </c>
      <c r="H1184" s="0" t="s">
        <v>4732</v>
      </c>
      <c r="I1184" s="0" t="s">
        <v>615</v>
      </c>
      <c r="J1184" s="0" t="s">
        <v>615</v>
      </c>
      <c r="K1184" s="0" t="s">
        <v>3090</v>
      </c>
      <c r="L1184" s="0" t="s">
        <v>32</v>
      </c>
      <c r="M1184" s="0" t="s">
        <v>33</v>
      </c>
      <c r="N1184" s="0" t="s">
        <v>4734</v>
      </c>
      <c r="O1184" s="0" t="s">
        <v>35</v>
      </c>
      <c r="P1184" s="0" t="s">
        <v>39</v>
      </c>
      <c r="Q1184" s="0" t="s">
        <v>3092</v>
      </c>
      <c r="R1184" s="0" t="s">
        <v>4733</v>
      </c>
      <c r="S1184" s="0" t="s">
        <v>4734</v>
      </c>
      <c r="T1184" s="0">
        <f>HYPERLINK("https://storage.sslt.ae/ItemVariation/08DCFA79-41B6-453C-8431-6FD5EE66AB5B/D09A029A-BB50-4F5B-BB0B-57E8F0EC5C5D.png","Variant Image")</f>
      </c>
      <c r="U1184" s="0">
        <f>HYPERLINK("https://ec-qa-storage.kldlms.com/Item/08DCFA79-41B6-453C-8431-6FD5EE66AB5B/65E1DD34-A6EA-4CB2-83AA-C9A0DD984A3F.png","Thumbnail Image")</f>
      </c>
      <c r="V1184" s="0">
        <f>HYPERLINK("https://ec-qa-storage.kldlms.com/ItemGallery/08DCFA79-41B6-453C-8431-6FD5EE66AB5B/77ECAEBC-BFD4-4DD9-B8F2-933769EE802C.png","Gallery Image ")</f>
      </c>
      <c r="W1184" s="0" t="s">
        <v>22</v>
      </c>
      <c r="X1184" s="0" t="s">
        <v>4735</v>
      </c>
    </row>
    <row r="1185">
      <c r="A1185" s="0" t="s">
        <v>4732</v>
      </c>
      <c r="B1185" s="0" t="s">
        <v>4732</v>
      </c>
      <c r="C1185" s="0" t="s">
        <v>4736</v>
      </c>
      <c r="D1185" s="0" t="s">
        <v>27</v>
      </c>
      <c r="E1185" s="0" t="s">
        <v>3136</v>
      </c>
      <c r="F1185" s="0" t="s">
        <v>3137</v>
      </c>
      <c r="G1185" s="0" t="s">
        <v>4732</v>
      </c>
      <c r="H1185" s="0" t="s">
        <v>4732</v>
      </c>
      <c r="I1185" s="0" t="s">
        <v>4737</v>
      </c>
      <c r="J1185" s="0" t="s">
        <v>4737</v>
      </c>
      <c r="K1185" s="0" t="s">
        <v>4738</v>
      </c>
      <c r="L1185" s="0" t="s">
        <v>32</v>
      </c>
      <c r="M1185" s="0" t="s">
        <v>61</v>
      </c>
      <c r="N1185" s="0" t="s">
        <v>349</v>
      </c>
      <c r="O1185" s="0" t="s">
        <v>35</v>
      </c>
      <c r="P1185" s="0" t="s">
        <v>39</v>
      </c>
      <c r="Q1185" s="0" t="s">
        <v>4739</v>
      </c>
      <c r="R1185" s="0" t="s">
        <v>4736</v>
      </c>
      <c r="S1185" s="0" t="s">
        <v>349</v>
      </c>
      <c r="T1185" s="0">
        <f>HYPERLINK("https://storage.sslt.ae/ItemVariation/08DCFA79-4214-4AB9-81D6-B8CABBC144BC/05F0E0F9-6E6D-4C94-A93D-BD5BF4452C96.png","Variant Image")</f>
      </c>
      <c r="U1185" s="0">
        <f>HYPERLINK("https://ec-qa-storage.kldlms.com/Item/08DCFA79-4214-4AB9-81D6-B8CABBC144BC/FFEA76CA-39CD-48F7-957D-3B12705AB003.jpg","Thumbnail Image")</f>
      </c>
      <c r="V1185" s="0">
        <f>HYPERLINK("https://ec-qa-storage.kldlms.com/ItemGallery/08DCFA79-4214-4AB9-81D6-B8CABBC144BC/3C46867C-C712-444F-98B1-8B0F84013F2F.jpg","Gallery Image ")</f>
      </c>
      <c r="W1185" s="0" t="s">
        <v>22</v>
      </c>
    </row>
    <row r="1186">
      <c r="P1186" s="0" t="s">
        <v>527</v>
      </c>
      <c r="Q1186" s="0" t="s">
        <v>4738</v>
      </c>
      <c r="R1186" s="0" t="s">
        <v>4736</v>
      </c>
      <c r="S1186" s="0" t="s">
        <v>32</v>
      </c>
      <c r="T1186" s="0">
        <f>HYPERLINK("https://ec-qa-storage.kldlms.com/ItemVariation/08DCFA79-4214-4AB9-81D6-B8CABBC144BC/BFE30A20-C211-45FC-9676-269D8C841C56.jpg","Variant Image")</f>
      </c>
    </row>
    <row r="1187">
      <c r="A1187" s="0" t="s">
        <v>4732</v>
      </c>
      <c r="B1187" s="0" t="s">
        <v>4732</v>
      </c>
      <c r="C1187" s="0" t="s">
        <v>4740</v>
      </c>
      <c r="D1187" s="0" t="s">
        <v>27</v>
      </c>
      <c r="E1187" s="0" t="s">
        <v>3136</v>
      </c>
      <c r="F1187" s="0" t="s">
        <v>3137</v>
      </c>
      <c r="G1187" s="0" t="s">
        <v>4732</v>
      </c>
      <c r="H1187" s="0" t="s">
        <v>4732</v>
      </c>
      <c r="I1187" s="0" t="s">
        <v>4741</v>
      </c>
      <c r="J1187" s="0" t="s">
        <v>4741</v>
      </c>
      <c r="K1187" s="0" t="s">
        <v>4742</v>
      </c>
      <c r="L1187" s="0" t="s">
        <v>32</v>
      </c>
      <c r="M1187" s="0" t="s">
        <v>61</v>
      </c>
      <c r="N1187" s="0" t="s">
        <v>4743</v>
      </c>
      <c r="O1187" s="0" t="s">
        <v>35</v>
      </c>
      <c r="P1187" s="0" t="s">
        <v>39</v>
      </c>
      <c r="Q1187" s="0" t="s">
        <v>4744</v>
      </c>
      <c r="R1187" s="0" t="s">
        <v>4740</v>
      </c>
      <c r="S1187" s="0" t="s">
        <v>4743</v>
      </c>
      <c r="T1187" s="0">
        <f>HYPERLINK("https://storage.sslt.ae/ItemVariation/08DCFA79-4270-4C2D-8940-BF84642BAD40/A13122D8-F771-4E1E-ABB5-4DD24ED42DDD.png","Variant Image")</f>
      </c>
      <c r="U1187" s="0">
        <f>HYPERLINK("https://ec-qa-storage.kldlms.com/Item/08DCFA79-4270-4C2D-8940-BF84642BAD40/D12966AA-F1DC-4113-A8A5-FF015A9C595E.jpg","Thumbnail Image")</f>
      </c>
      <c r="V1187" s="0">
        <f>HYPERLINK("https://ec-qa-storage.kldlms.com/ItemGallery/08DCFA79-4270-4C2D-8940-BF84642BAD40/83EEDACC-4F68-4AE7-8B91-74DF70E8F247.jpg","Gallery Image ")</f>
      </c>
      <c r="W1187" s="0" t="s">
        <v>22</v>
      </c>
    </row>
    <row r="1188">
      <c r="P1188" s="0" t="s">
        <v>527</v>
      </c>
      <c r="Q1188" s="0" t="s">
        <v>4742</v>
      </c>
      <c r="R1188" s="0" t="s">
        <v>4740</v>
      </c>
      <c r="S1188" s="0" t="s">
        <v>32</v>
      </c>
      <c r="T1188" s="0">
        <f>HYPERLINK("https://ec-qa-storage.kldlms.com/ItemVariation/08DCFA79-4270-4C2D-8940-BF84642BAD40/6CB56325-9975-4BA9-BED2-91A3D7FDE8EF.jpg","Variant Image")</f>
      </c>
    </row>
    <row r="1189">
      <c r="A1189" s="0" t="s">
        <v>4745</v>
      </c>
      <c r="B1189" s="0" t="s">
        <v>4745</v>
      </c>
      <c r="C1189" s="0" t="s">
        <v>4746</v>
      </c>
      <c r="D1189" s="0" t="s">
        <v>27</v>
      </c>
      <c r="E1189" s="0" t="s">
        <v>4728</v>
      </c>
      <c r="F1189" s="0" t="s">
        <v>557</v>
      </c>
      <c r="G1189" s="0" t="s">
        <v>4745</v>
      </c>
      <c r="H1189" s="0" t="s">
        <v>4745</v>
      </c>
      <c r="I1189" s="0" t="s">
        <v>615</v>
      </c>
      <c r="J1189" s="0" t="s">
        <v>615</v>
      </c>
      <c r="K1189" s="0" t="s">
        <v>2198</v>
      </c>
      <c r="L1189" s="0" t="s">
        <v>32</v>
      </c>
      <c r="M1189" s="0" t="s">
        <v>33</v>
      </c>
      <c r="N1189" s="0" t="s">
        <v>2815</v>
      </c>
      <c r="O1189" s="0" t="s">
        <v>35</v>
      </c>
      <c r="P1189" s="0" t="s">
        <v>39</v>
      </c>
      <c r="Q1189" s="0" t="s">
        <v>4747</v>
      </c>
      <c r="R1189" s="0" t="s">
        <v>4746</v>
      </c>
      <c r="S1189" s="0" t="s">
        <v>2815</v>
      </c>
      <c r="T1189" s="0">
        <f>HYPERLINK("https://storage.sslt.ae/ItemVariation/08DCFA79-42CC-4338-8774-45CE1C7D36A7/1D02F7F9-03CD-49F6-9B23-CC8B988538DD.png","Variant Image")</f>
      </c>
      <c r="U1189" s="0">
        <f>HYPERLINK("https://ec-qa-storage.kldlms.com/Item/08DCFA79-42CC-4338-8774-45CE1C7D36A7/EED6422F-F2A4-4D7C-AB8D-29B3BF53B549.png","Thumbnail Image")</f>
      </c>
      <c r="V1189" s="0">
        <f>HYPERLINK("https://ec-qa-storage.kldlms.com/ItemGallery/08DCFA79-42CC-4338-8774-45CE1C7D36A7/C80F83A1-142A-457B-9789-93A2D8A0CCAF.png","Gallery Image ")</f>
      </c>
      <c r="W1189" s="0" t="s">
        <v>22</v>
      </c>
      <c r="X1189" s="0" t="s">
        <v>4748</v>
      </c>
    </row>
    <row r="1190">
      <c r="A1190" s="0" t="s">
        <v>4745</v>
      </c>
      <c r="B1190" s="0" t="s">
        <v>4745</v>
      </c>
      <c r="C1190" s="0" t="s">
        <v>4749</v>
      </c>
      <c r="D1190" s="0" t="s">
        <v>27</v>
      </c>
      <c r="E1190" s="0" t="s">
        <v>4728</v>
      </c>
      <c r="F1190" s="0" t="s">
        <v>557</v>
      </c>
      <c r="G1190" s="0" t="s">
        <v>4745</v>
      </c>
      <c r="H1190" s="0" t="s">
        <v>4745</v>
      </c>
      <c r="I1190" s="0" t="s">
        <v>615</v>
      </c>
      <c r="J1190" s="0" t="s">
        <v>615</v>
      </c>
      <c r="K1190" s="0" t="s">
        <v>4325</v>
      </c>
      <c r="L1190" s="0" t="s">
        <v>32</v>
      </c>
      <c r="M1190" s="0" t="s">
        <v>33</v>
      </c>
      <c r="N1190" s="0" t="s">
        <v>3056</v>
      </c>
      <c r="O1190" s="0" t="s">
        <v>35</v>
      </c>
      <c r="P1190" s="0" t="s">
        <v>39</v>
      </c>
      <c r="Q1190" s="0" t="s">
        <v>4326</v>
      </c>
      <c r="R1190" s="0" t="s">
        <v>4749</v>
      </c>
      <c r="S1190" s="0" t="s">
        <v>3056</v>
      </c>
      <c r="T1190" s="0">
        <f>HYPERLINK("https://storage.sslt.ae/ItemVariation/08DCFA79-4327-45E1-851F-9D0EC17E18F8/1B1C501B-66C6-4E74-B612-C36C11071EB4.png","Variant Image")</f>
      </c>
      <c r="U1190" s="0">
        <f>HYPERLINK("https://ec-qa-storage.kldlms.com/Item/08DCFA79-4327-45E1-851F-9D0EC17E18F8/0CA6F13E-58D8-44A4-B3DE-24196BAFF173.png","Thumbnail Image")</f>
      </c>
      <c r="V1190" s="0">
        <f>HYPERLINK("https://ec-qa-storage.kldlms.com/ItemGallery/08DCFA79-4327-45E1-851F-9D0EC17E18F8/8924E82E-7DB6-4AB5-A4A6-BC7DD7EAE3A6.png","Gallery Image ")</f>
      </c>
      <c r="W1190" s="0" t="s">
        <v>22</v>
      </c>
      <c r="X1190" s="0" t="s">
        <v>4750</v>
      </c>
    </row>
    <row r="1191">
      <c r="A1191" s="0" t="s">
        <v>4751</v>
      </c>
      <c r="B1191" s="0" t="s">
        <v>4751</v>
      </c>
      <c r="C1191" s="0" t="s">
        <v>4752</v>
      </c>
      <c r="D1191" s="0" t="s">
        <v>27</v>
      </c>
      <c r="E1191" s="0" t="s">
        <v>3160</v>
      </c>
      <c r="F1191" s="0" t="s">
        <v>3137</v>
      </c>
      <c r="G1191" s="0" t="s">
        <v>4751</v>
      </c>
      <c r="H1191" s="0" t="s">
        <v>4751</v>
      </c>
      <c r="I1191" s="0" t="s">
        <v>4753</v>
      </c>
      <c r="J1191" s="0" t="s">
        <v>4753</v>
      </c>
      <c r="K1191" s="0" t="s">
        <v>4257</v>
      </c>
      <c r="L1191" s="0" t="s">
        <v>32</v>
      </c>
      <c r="M1191" s="0" t="s">
        <v>61</v>
      </c>
      <c r="N1191" s="0" t="s">
        <v>3358</v>
      </c>
      <c r="O1191" s="0" t="s">
        <v>35</v>
      </c>
      <c r="P1191" s="0" t="s">
        <v>39</v>
      </c>
      <c r="Q1191" s="0" t="s">
        <v>4258</v>
      </c>
      <c r="R1191" s="0" t="s">
        <v>4752</v>
      </c>
      <c r="S1191" s="0" t="s">
        <v>3358</v>
      </c>
      <c r="T1191" s="0">
        <f>HYPERLINK("https://storage.sslt.ae/ItemVariation/08DCFA79-4383-4F1E-8AEC-39C48D5D8BEE/B60E1096-8081-4987-9D6E-94B449D8BAB3.png","Variant Image")</f>
      </c>
      <c r="U1191" s="0">
        <f>HYPERLINK("https://ec-qa-storage.kldlms.com/Item/08DCFA79-4383-4F1E-8AEC-39C48D5D8BEE/6A0F78CF-DF5C-41C8-8E51-90FB758CD163.jpg","Thumbnail Image")</f>
      </c>
      <c r="V1191" s="0">
        <f>HYPERLINK("https://ec-qa-storage.kldlms.com/ItemGallery/08DCFA79-4383-4F1E-8AEC-39C48D5D8BEE/3E1E7FA4-2E94-4160-8C9C-6D2FF18598A5.jpg","Gallery Image ")</f>
      </c>
      <c r="W1191" s="0" t="s">
        <v>22</v>
      </c>
    </row>
    <row r="1192">
      <c r="P1192" s="0" t="s">
        <v>593</v>
      </c>
      <c r="Q1192" s="0" t="s">
        <v>4257</v>
      </c>
      <c r="R1192" s="0" t="s">
        <v>4752</v>
      </c>
      <c r="S1192" s="0" t="s">
        <v>32</v>
      </c>
      <c r="T1192" s="0">
        <f>HYPERLINK("https://ec-qa-storage.kldlms.com/ItemVariation/08DCFA79-4383-4F1E-8AEC-39C48D5D8BEE/D866FB57-4F2E-4981-B328-44F2781E8EFB.jpg","Variant Image")</f>
      </c>
    </row>
    <row r="1193">
      <c r="A1193" s="0" t="s">
        <v>4754</v>
      </c>
      <c r="B1193" s="0" t="s">
        <v>4754</v>
      </c>
      <c r="C1193" s="0" t="s">
        <v>4755</v>
      </c>
      <c r="D1193" s="0" t="s">
        <v>27</v>
      </c>
      <c r="E1193" s="0" t="s">
        <v>3136</v>
      </c>
      <c r="F1193" s="0" t="s">
        <v>3137</v>
      </c>
      <c r="G1193" s="0" t="s">
        <v>4754</v>
      </c>
      <c r="H1193" s="0" t="s">
        <v>4754</v>
      </c>
      <c r="I1193" s="0" t="s">
        <v>4756</v>
      </c>
      <c r="J1193" s="0" t="s">
        <v>4756</v>
      </c>
      <c r="K1193" s="0" t="s">
        <v>4757</v>
      </c>
      <c r="L1193" s="0" t="s">
        <v>32</v>
      </c>
      <c r="M1193" s="0" t="s">
        <v>61</v>
      </c>
      <c r="N1193" s="0" t="s">
        <v>110</v>
      </c>
      <c r="O1193" s="0" t="s">
        <v>35</v>
      </c>
      <c r="P1193" s="0" t="s">
        <v>39</v>
      </c>
      <c r="Q1193" s="0" t="s">
        <v>4758</v>
      </c>
      <c r="R1193" s="0" t="s">
        <v>4755</v>
      </c>
      <c r="S1193" s="0" t="s">
        <v>110</v>
      </c>
      <c r="T1193" s="0">
        <f>HYPERLINK("https://storage.sslt.ae/ItemVariation/08DCFA79-43DE-4CA9-8398-5E61489B0158/D2CE51D1-0FD7-4B97-B2C8-470AD714761F.png","Variant Image")</f>
      </c>
      <c r="U1193" s="0">
        <f>HYPERLINK("https://ec-qa-storage.kldlms.com/Item/08DCFA79-43DE-4CA9-8398-5E61489B0158/8F382100-29C0-4661-BD05-4A3A59446D7D.png","Thumbnail Image")</f>
      </c>
      <c r="V1193" s="0">
        <f>HYPERLINK("https://ec-qa-storage.kldlms.com/ItemGallery/08DCFA79-43DE-4CA9-8398-5E61489B0158/EADA7AD9-1F8E-4966-AF80-DDB0B56F6D63.jpg","Gallery Image ")</f>
      </c>
      <c r="W1193" s="0" t="s">
        <v>22</v>
      </c>
    </row>
    <row r="1194">
      <c r="P1194" s="0" t="s">
        <v>593</v>
      </c>
      <c r="Q1194" s="0" t="s">
        <v>4757</v>
      </c>
      <c r="R1194" s="0" t="s">
        <v>4755</v>
      </c>
      <c r="S1194" s="0" t="s">
        <v>32</v>
      </c>
      <c r="T1194" s="0">
        <f>HYPERLINK("https://ec-qa-storage.kldlms.com/ItemVariation/08DCFA79-43DE-4CA9-8398-5E61489B0158/F7018B31-FF18-4E96-8FF2-FF06A18FB3FB.png","Variant Image")</f>
      </c>
    </row>
    <row r="1195">
      <c r="P1195" s="0" t="s">
        <v>1016</v>
      </c>
      <c r="Q1195" s="0" t="s">
        <v>4757</v>
      </c>
      <c r="R1195" s="0" t="s">
        <v>4759</v>
      </c>
      <c r="S1195" s="0" t="s">
        <v>32</v>
      </c>
      <c r="T1195" s="0">
        <f>HYPERLINK("https://ec-qa-storage.kldlms.com/ItemVariation/08DCFA79-43DE-4CA9-8398-5E61489B0158/D95C6279-1E16-4F2D-98B0-CC8DB3E064BC.jpg","Variant Image")</f>
      </c>
    </row>
    <row r="1196">
      <c r="P1196" s="0" t="s">
        <v>527</v>
      </c>
      <c r="Q1196" s="0" t="s">
        <v>4757</v>
      </c>
      <c r="R1196" s="0" t="s">
        <v>4760</v>
      </c>
      <c r="S1196" s="0" t="s">
        <v>32</v>
      </c>
      <c r="T1196" s="0">
        <f>HYPERLINK("https://ec-qa-storage.kldlms.com/ItemVariation/08DCFA79-43DE-4CA9-8398-5E61489B0158/514E73CA-AC65-4267-AAA9-1AE29FBAB9F8.jpg","Variant Image")</f>
      </c>
    </row>
    <row r="1197">
      <c r="A1197" s="0" t="s">
        <v>4754</v>
      </c>
      <c r="B1197" s="0" t="s">
        <v>4754</v>
      </c>
      <c r="C1197" s="0" t="s">
        <v>4759</v>
      </c>
      <c r="D1197" s="0" t="s">
        <v>27</v>
      </c>
      <c r="E1197" s="0" t="s">
        <v>4728</v>
      </c>
      <c r="F1197" s="0" t="s">
        <v>557</v>
      </c>
      <c r="G1197" s="0" t="s">
        <v>4754</v>
      </c>
      <c r="H1197" s="0" t="s">
        <v>4754</v>
      </c>
      <c r="I1197" s="0" t="s">
        <v>615</v>
      </c>
      <c r="J1197" s="0" t="s">
        <v>615</v>
      </c>
      <c r="K1197" s="0" t="s">
        <v>4761</v>
      </c>
      <c r="L1197" s="0" t="s">
        <v>32</v>
      </c>
      <c r="M1197" s="0" t="s">
        <v>33</v>
      </c>
      <c r="N1197" s="0" t="s">
        <v>787</v>
      </c>
      <c r="O1197" s="0" t="s">
        <v>35</v>
      </c>
      <c r="P1197" s="0" t="s">
        <v>39</v>
      </c>
      <c r="Q1197" s="0" t="s">
        <v>4762</v>
      </c>
      <c r="R1197" s="0" t="s">
        <v>4759</v>
      </c>
      <c r="S1197" s="0" t="s">
        <v>787</v>
      </c>
      <c r="T1197" s="0">
        <f>HYPERLINK("https://storage.sslt.ae/ItemVariation/08DCFA79-4439-4F1C-87F7-2583FEBF0BCA/21B7B7F9-427E-409A-979B-A51A1791F3AD.png","Variant Image")</f>
      </c>
      <c r="U1197" s="0">
        <f>HYPERLINK("https://ec-qa-storage.kldlms.com/Item/08DCFA79-4439-4F1C-87F7-2583FEBF0BCA/3F44CA82-DB7E-4073-8C79-3F404316C3F1.png","Thumbnail Image")</f>
      </c>
      <c r="V1197" s="0">
        <f>HYPERLINK("https://ec-qa-storage.kldlms.com/ItemGallery/08DCFA79-4439-4F1C-87F7-2583FEBF0BCA/F70847B4-3ECF-4025-A09F-230808E5CB20.png","Gallery Image ")</f>
      </c>
      <c r="W1197" s="0" t="s">
        <v>22</v>
      </c>
      <c r="X1197" s="0" t="s">
        <v>4763</v>
      </c>
    </row>
    <row r="1198">
      <c r="A1198" s="0" t="s">
        <v>4754</v>
      </c>
      <c r="B1198" s="0" t="s">
        <v>4754</v>
      </c>
      <c r="C1198" s="0" t="s">
        <v>4760</v>
      </c>
      <c r="D1198" s="0" t="s">
        <v>27</v>
      </c>
      <c r="E1198" s="0" t="s">
        <v>4728</v>
      </c>
      <c r="F1198" s="0" t="s">
        <v>557</v>
      </c>
      <c r="G1198" s="0" t="s">
        <v>4754</v>
      </c>
      <c r="H1198" s="0" t="s">
        <v>4754</v>
      </c>
      <c r="I1198" s="0" t="s">
        <v>615</v>
      </c>
      <c r="J1198" s="0" t="s">
        <v>615</v>
      </c>
      <c r="K1198" s="0" t="s">
        <v>4764</v>
      </c>
      <c r="L1198" s="0" t="s">
        <v>32</v>
      </c>
      <c r="M1198" s="0" t="s">
        <v>33</v>
      </c>
      <c r="N1198" s="0" t="s">
        <v>674</v>
      </c>
      <c r="O1198" s="0" t="s">
        <v>35</v>
      </c>
      <c r="P1198" s="0" t="s">
        <v>39</v>
      </c>
      <c r="Q1198" s="0" t="s">
        <v>4765</v>
      </c>
      <c r="R1198" s="0" t="s">
        <v>4760</v>
      </c>
      <c r="S1198" s="0" t="s">
        <v>674</v>
      </c>
      <c r="T1198" s="0">
        <f>HYPERLINK("https://storage.sslt.ae/ItemVariation/08DCFA79-4497-463B-8AE8-E8A33DB42AC3/5FBE9A4B-5E6D-4380-BD7C-A2AF230A3869.png","Variant Image")</f>
      </c>
      <c r="U1198" s="0">
        <f>HYPERLINK("https://ec-qa-storage.kldlms.com/Item/08DCFA79-4497-463B-8AE8-E8A33DB42AC3/D778D581-3461-4240-A2A4-ED7D510BE5F1.png","Thumbnail Image")</f>
      </c>
      <c r="V1198" s="0">
        <f>HYPERLINK("https://ec-qa-storage.kldlms.com/ItemGallery/08DCFA79-4497-463B-8AE8-E8A33DB42AC3/F426C1A9-2FCC-4BD8-AB14-EBD34FF7ED60.png","Gallery Image ")</f>
      </c>
      <c r="W1198" s="0" t="s">
        <v>22</v>
      </c>
      <c r="X1198" s="0" t="s">
        <v>4766</v>
      </c>
    </row>
    <row r="1199">
      <c r="A1199" s="0" t="s">
        <v>4767</v>
      </c>
      <c r="B1199" s="0" t="s">
        <v>4767</v>
      </c>
      <c r="C1199" s="0" t="s">
        <v>4768</v>
      </c>
      <c r="D1199" s="0" t="s">
        <v>27</v>
      </c>
      <c r="E1199" s="0" t="s">
        <v>4728</v>
      </c>
      <c r="F1199" s="0" t="s">
        <v>557</v>
      </c>
      <c r="G1199" s="0" t="s">
        <v>4767</v>
      </c>
      <c r="H1199" s="0" t="s">
        <v>4767</v>
      </c>
      <c r="I1199" s="0" t="s">
        <v>615</v>
      </c>
      <c r="J1199" s="0" t="s">
        <v>615</v>
      </c>
      <c r="K1199" s="0" t="s">
        <v>4769</v>
      </c>
      <c r="L1199" s="0" t="s">
        <v>32</v>
      </c>
      <c r="M1199" s="0" t="s">
        <v>33</v>
      </c>
      <c r="N1199" s="0" t="s">
        <v>280</v>
      </c>
      <c r="O1199" s="0" t="s">
        <v>35</v>
      </c>
      <c r="P1199" s="0" t="s">
        <v>39</v>
      </c>
      <c r="Q1199" s="0" t="s">
        <v>4770</v>
      </c>
      <c r="R1199" s="0" t="s">
        <v>4768</v>
      </c>
      <c r="S1199" s="0" t="s">
        <v>280</v>
      </c>
      <c r="T1199" s="0">
        <f>HYPERLINK("https://storage.sslt.ae/ItemVariation/08DCFA79-44F4-4ED8-8BA2-A7269904C79F/B4F1E8E5-1AD3-4E01-A5B6-0A36BFEC83E2.png","Variant Image")</f>
      </c>
      <c r="U1199" s="0">
        <f>HYPERLINK("https://ec-qa-storage.kldlms.com/Item/08DCFA79-44F4-4ED8-8BA2-A7269904C79F/01D62455-709D-4C90-A140-3FCF5E8FDF65.png","Thumbnail Image")</f>
      </c>
      <c r="V1199" s="0">
        <f>HYPERLINK("https://ec-qa-storage.kldlms.com/ItemGallery/08DCFA79-44F4-4ED8-8BA2-A7269904C79F/5894645A-7D71-4467-8791-321E11C8B381.png","Gallery Image ")</f>
      </c>
      <c r="W1199" s="0" t="s">
        <v>22</v>
      </c>
      <c r="X1199" s="0" t="s">
        <v>4771</v>
      </c>
    </row>
    <row r="1200">
      <c r="A1200" s="0" t="s">
        <v>4754</v>
      </c>
      <c r="B1200" s="0" t="s">
        <v>4754</v>
      </c>
      <c r="C1200" s="0" t="s">
        <v>4772</v>
      </c>
      <c r="D1200" s="0" t="s">
        <v>27</v>
      </c>
      <c r="E1200" s="0" t="s">
        <v>4728</v>
      </c>
      <c r="F1200" s="0" t="s">
        <v>557</v>
      </c>
      <c r="G1200" s="0" t="s">
        <v>4754</v>
      </c>
      <c r="H1200" s="0" t="s">
        <v>4754</v>
      </c>
      <c r="I1200" s="0" t="s">
        <v>615</v>
      </c>
      <c r="J1200" s="0" t="s">
        <v>615</v>
      </c>
      <c r="K1200" s="0" t="s">
        <v>4773</v>
      </c>
      <c r="L1200" s="0" t="s">
        <v>32</v>
      </c>
      <c r="M1200" s="0" t="s">
        <v>33</v>
      </c>
      <c r="N1200" s="0" t="s">
        <v>337</v>
      </c>
      <c r="O1200" s="0" t="s">
        <v>35</v>
      </c>
      <c r="P1200" s="0" t="s">
        <v>39</v>
      </c>
      <c r="Q1200" s="0" t="s">
        <v>4774</v>
      </c>
      <c r="R1200" s="0" t="s">
        <v>4772</v>
      </c>
      <c r="S1200" s="0" t="s">
        <v>337</v>
      </c>
      <c r="T1200" s="0">
        <f>HYPERLINK("https://storage.sslt.ae/ItemVariation/08DCFA79-454F-49F8-8413-713D0DA9FED3/D8C3F373-63BB-48DC-AA48-08939C3422FE.png","Variant Image")</f>
      </c>
      <c r="U1200" s="0">
        <f>HYPERLINK("https://ec-qa-storage.kldlms.com/Item/08DCFA79-454F-49F8-8413-713D0DA9FED3/556E75D1-F7A4-40C9-9576-0AF02FFCAD9A.png","Thumbnail Image")</f>
      </c>
      <c r="V1200" s="0">
        <f>HYPERLINK("https://ec-qa-storage.kldlms.com/ItemGallery/08DCFA79-454F-49F8-8413-713D0DA9FED3/58BECDF9-9845-42F2-992B-D5F997F857A8.png","Gallery Image ")</f>
      </c>
      <c r="W1200" s="0" t="s">
        <v>22</v>
      </c>
      <c r="X1200" s="0" t="s">
        <v>4775</v>
      </c>
    </row>
    <row r="1201">
      <c r="A1201" s="0" t="s">
        <v>4754</v>
      </c>
      <c r="B1201" s="0" t="s">
        <v>4754</v>
      </c>
      <c r="C1201" s="0" t="s">
        <v>4776</v>
      </c>
      <c r="D1201" s="0" t="s">
        <v>27</v>
      </c>
      <c r="E1201" s="0" t="s">
        <v>4728</v>
      </c>
      <c r="F1201" s="0" t="s">
        <v>557</v>
      </c>
      <c r="G1201" s="0" t="s">
        <v>4754</v>
      </c>
      <c r="H1201" s="0" t="s">
        <v>4754</v>
      </c>
      <c r="I1201" s="0" t="s">
        <v>615</v>
      </c>
      <c r="J1201" s="0" t="s">
        <v>615</v>
      </c>
      <c r="K1201" s="0" t="s">
        <v>4777</v>
      </c>
      <c r="L1201" s="0" t="s">
        <v>32</v>
      </c>
      <c r="M1201" s="0" t="s">
        <v>33</v>
      </c>
      <c r="N1201" s="0" t="s">
        <v>202</v>
      </c>
      <c r="O1201" s="0" t="s">
        <v>35</v>
      </c>
      <c r="P1201" s="0" t="s">
        <v>39</v>
      </c>
      <c r="Q1201" s="0" t="s">
        <v>4778</v>
      </c>
      <c r="R1201" s="0" t="s">
        <v>4776</v>
      </c>
      <c r="S1201" s="0" t="s">
        <v>202</v>
      </c>
      <c r="T1201" s="0">
        <f>HYPERLINK("https://storage.sslt.ae/ItemVariation/08DCFA79-45AA-44FB-8FA3-34DA5605E80D/CF791F6A-17E4-41FB-8940-A5DE0FDCBE50.png","Variant Image")</f>
      </c>
      <c r="U1201" s="0">
        <f>HYPERLINK("https://ec-qa-storage.kldlms.com/Item/08DCFA79-45AA-44FB-8FA3-34DA5605E80D/882F75AF-7713-4388-84EA-62063B4E60A8.png","Thumbnail Image")</f>
      </c>
      <c r="V1201" s="0">
        <f>HYPERLINK("https://ec-qa-storage.kldlms.com/ItemGallery/08DCFA79-45AA-44FB-8FA3-34DA5605E80D/207C6FC0-67FC-4EEA-8284-60AB42E3A84C.png","Gallery Image ")</f>
      </c>
      <c r="W1201" s="0" t="s">
        <v>22</v>
      </c>
      <c r="X1201" s="0" t="s">
        <v>4779</v>
      </c>
    </row>
    <row r="1202">
      <c r="A1202" s="0" t="s">
        <v>4754</v>
      </c>
      <c r="B1202" s="0" t="s">
        <v>4754</v>
      </c>
      <c r="C1202" s="0" t="s">
        <v>4780</v>
      </c>
      <c r="D1202" s="0" t="s">
        <v>27</v>
      </c>
      <c r="E1202" s="0" t="s">
        <v>4728</v>
      </c>
      <c r="F1202" s="0" t="s">
        <v>557</v>
      </c>
      <c r="G1202" s="0" t="s">
        <v>4754</v>
      </c>
      <c r="H1202" s="0" t="s">
        <v>4754</v>
      </c>
      <c r="I1202" s="0" t="s">
        <v>615</v>
      </c>
      <c r="J1202" s="0" t="s">
        <v>615</v>
      </c>
      <c r="K1202" s="0" t="s">
        <v>4781</v>
      </c>
      <c r="L1202" s="0" t="s">
        <v>32</v>
      </c>
      <c r="M1202" s="0" t="s">
        <v>33</v>
      </c>
      <c r="N1202" s="0" t="s">
        <v>409</v>
      </c>
      <c r="O1202" s="0" t="s">
        <v>35</v>
      </c>
      <c r="P1202" s="0" t="s">
        <v>39</v>
      </c>
      <c r="Q1202" s="0" t="s">
        <v>4782</v>
      </c>
      <c r="R1202" s="0" t="s">
        <v>4780</v>
      </c>
      <c r="S1202" s="0" t="s">
        <v>409</v>
      </c>
      <c r="T1202" s="0">
        <f>HYPERLINK("https://storage.sslt.ae/ItemVariation/08DCFA79-4606-4E3F-8B9D-C93C7EC18ABA/D4DD2892-867D-478A-AC7F-94CEDAC13242.png","Variant Image")</f>
      </c>
      <c r="U1202" s="0">
        <f>HYPERLINK("https://ec-qa-storage.kldlms.com/Item/08DCFA79-4606-4E3F-8B9D-C93C7EC18ABA/7D6BCBAB-A6D0-4536-944F-A3E9233ECCD9.png","Thumbnail Image")</f>
      </c>
      <c r="V1202" s="0">
        <f>HYPERLINK("https://ec-qa-storage.kldlms.com/ItemGallery/08DCFA79-4606-4E3F-8B9D-C93C7EC18ABA/1CD2B987-EA61-401A-BD70-92C1CB711E0C.png","Gallery Image ")</f>
      </c>
      <c r="W1202" s="0" t="s">
        <v>22</v>
      </c>
      <c r="X1202" s="0" t="s">
        <v>4783</v>
      </c>
    </row>
    <row r="1203">
      <c r="A1203" s="0" t="s">
        <v>4754</v>
      </c>
      <c r="B1203" s="0" t="s">
        <v>4754</v>
      </c>
      <c r="C1203" s="0" t="s">
        <v>4784</v>
      </c>
      <c r="D1203" s="0" t="s">
        <v>27</v>
      </c>
      <c r="E1203" s="0" t="s">
        <v>4728</v>
      </c>
      <c r="F1203" s="0" t="s">
        <v>557</v>
      </c>
      <c r="G1203" s="0" t="s">
        <v>4754</v>
      </c>
      <c r="H1203" s="0" t="s">
        <v>4754</v>
      </c>
      <c r="I1203" s="0" t="s">
        <v>615</v>
      </c>
      <c r="J1203" s="0" t="s">
        <v>615</v>
      </c>
      <c r="K1203" s="0" t="s">
        <v>4781</v>
      </c>
      <c r="L1203" s="0" t="s">
        <v>32</v>
      </c>
      <c r="M1203" s="0" t="s">
        <v>33</v>
      </c>
      <c r="N1203" s="0" t="s">
        <v>140</v>
      </c>
      <c r="O1203" s="0" t="s">
        <v>35</v>
      </c>
      <c r="P1203" s="0" t="s">
        <v>39</v>
      </c>
      <c r="Q1203" s="0" t="s">
        <v>4782</v>
      </c>
      <c r="R1203" s="0" t="s">
        <v>4784</v>
      </c>
      <c r="S1203" s="0" t="s">
        <v>140</v>
      </c>
      <c r="T1203" s="0">
        <f>HYPERLINK("https://storage.sslt.ae/ItemVariation/08DCFA79-4663-42DB-8CC3-927B07BCD0EF/2CD3AC63-F657-4770-BE09-186EEE57A31D.png","Variant Image")</f>
      </c>
      <c r="U1203" s="0">
        <f>HYPERLINK("https://ec-qa-storage.kldlms.com/Item/08DCFA79-4663-42DB-8CC3-927B07BCD0EF/B1DB2F79-2F2D-4983-8F5B-74C42F1877F6.png","Thumbnail Image")</f>
      </c>
      <c r="V1203" s="0">
        <f>HYPERLINK("https://ec-qa-storage.kldlms.com/ItemGallery/08DCFA79-4663-42DB-8CC3-927B07BCD0EF/119E942E-575B-4191-8989-14DD679AAAD8.png","Gallery Image ")</f>
      </c>
      <c r="W1203" s="0" t="s">
        <v>22</v>
      </c>
      <c r="X1203" s="0" t="s">
        <v>4785</v>
      </c>
    </row>
    <row r="1204">
      <c r="A1204" s="0" t="s">
        <v>4754</v>
      </c>
      <c r="B1204" s="0" t="s">
        <v>4754</v>
      </c>
      <c r="C1204" s="0" t="s">
        <v>4786</v>
      </c>
      <c r="D1204" s="0" t="s">
        <v>27</v>
      </c>
      <c r="E1204" s="0" t="s">
        <v>3136</v>
      </c>
      <c r="F1204" s="0" t="s">
        <v>3137</v>
      </c>
      <c r="G1204" s="0" t="s">
        <v>4754</v>
      </c>
      <c r="H1204" s="0" t="s">
        <v>4754</v>
      </c>
      <c r="I1204" s="0" t="s">
        <v>4787</v>
      </c>
      <c r="J1204" s="0" t="s">
        <v>4787</v>
      </c>
      <c r="K1204" s="0" t="s">
        <v>1228</v>
      </c>
      <c r="L1204" s="0" t="s">
        <v>32</v>
      </c>
      <c r="M1204" s="0" t="s">
        <v>61</v>
      </c>
      <c r="N1204" s="0" t="s">
        <v>851</v>
      </c>
      <c r="O1204" s="0" t="s">
        <v>35</v>
      </c>
      <c r="P1204" s="0" t="s">
        <v>39</v>
      </c>
      <c r="Q1204" s="0" t="s">
        <v>4451</v>
      </c>
      <c r="R1204" s="0" t="s">
        <v>4786</v>
      </c>
      <c r="S1204" s="0" t="s">
        <v>851</v>
      </c>
      <c r="T1204" s="0">
        <f>HYPERLINK("https://storage.sslt.ae/ItemVariation/08DCFA79-46BE-483B-81D4-E58CABF11FAE/A755FE38-AC1D-440D-9573-89A1D69E7838.png","Variant Image")</f>
      </c>
      <c r="U1204" s="0">
        <f>HYPERLINK("https://ec-qa-storage.kldlms.com/Item/08DCFA79-46BE-483B-81D4-E58CABF11FAE/379E9DE6-9B9B-4D96-A510-4CD58ECBBBBB.jpg","Thumbnail Image")</f>
      </c>
      <c r="V1204" s="0">
        <f>HYPERLINK("https://ec-qa-storage.kldlms.com/ItemGallery/08DCFA79-46BE-483B-81D4-E58CABF11FAE/8989E65A-4A6B-4686-816F-742F71ABBE22.jpg","Gallery Image ")</f>
      </c>
      <c r="W1204" s="0" t="s">
        <v>22</v>
      </c>
    </row>
    <row r="1205">
      <c r="P1205" s="0" t="s">
        <v>527</v>
      </c>
      <c r="Q1205" s="0" t="s">
        <v>1228</v>
      </c>
      <c r="R1205" s="0" t="s">
        <v>4786</v>
      </c>
      <c r="S1205" s="0" t="s">
        <v>32</v>
      </c>
      <c r="T1205" s="0">
        <f>HYPERLINK("https://ec-qa-storage.kldlms.com/ItemVariation/08DCFA79-46BE-483B-81D4-E58CABF11FAE/9CB07007-D247-4FC4-9331-C562F0E74CF1.jpg","Variant Image")</f>
      </c>
    </row>
    <row r="1206">
      <c r="P1206" s="0" t="s">
        <v>1016</v>
      </c>
      <c r="Q1206" s="0" t="s">
        <v>1228</v>
      </c>
      <c r="R1206" s="0" t="s">
        <v>4784</v>
      </c>
      <c r="S1206" s="0" t="s">
        <v>32</v>
      </c>
      <c r="T1206" s="0">
        <f>HYPERLINK("https://ec-qa-storage.kldlms.com/ItemVariation/08DCFA79-46BE-483B-81D4-E58CABF11FAE/7314DC80-AF36-4EF8-9925-06A84FD187F2.jpg","Variant Image")</f>
      </c>
    </row>
    <row r="1207">
      <c r="P1207" s="0" t="s">
        <v>593</v>
      </c>
      <c r="Q1207" s="0" t="s">
        <v>1228</v>
      </c>
      <c r="R1207" s="0" t="s">
        <v>4780</v>
      </c>
      <c r="S1207" s="0" t="s">
        <v>32</v>
      </c>
      <c r="T1207" s="0">
        <f>HYPERLINK("https://ec-qa-storage.kldlms.com/ItemVariation/08DCFA79-46BE-483B-81D4-E58CABF11FAE/92DA7537-F572-4FBB-842C-F423F135AF1F.jpg","Variant Image")</f>
      </c>
    </row>
    <row r="1208">
      <c r="A1208" s="0" t="s">
        <v>4754</v>
      </c>
      <c r="B1208" s="0" t="s">
        <v>4754</v>
      </c>
      <c r="C1208" s="0" t="s">
        <v>4788</v>
      </c>
      <c r="D1208" s="0" t="s">
        <v>27</v>
      </c>
      <c r="E1208" s="0" t="s">
        <v>3136</v>
      </c>
      <c r="F1208" s="0" t="s">
        <v>3137</v>
      </c>
      <c r="G1208" s="0" t="s">
        <v>4754</v>
      </c>
      <c r="H1208" s="0" t="s">
        <v>4754</v>
      </c>
      <c r="I1208" s="0" t="s">
        <v>4789</v>
      </c>
      <c r="J1208" s="0" t="s">
        <v>4789</v>
      </c>
      <c r="K1208" s="0" t="s">
        <v>4790</v>
      </c>
      <c r="L1208" s="0" t="s">
        <v>32</v>
      </c>
      <c r="M1208" s="0" t="s">
        <v>61</v>
      </c>
      <c r="N1208" s="0" t="s">
        <v>35</v>
      </c>
      <c r="O1208" s="0" t="s">
        <v>35</v>
      </c>
      <c r="P1208" s="0" t="s">
        <v>39</v>
      </c>
      <c r="Q1208" s="0" t="s">
        <v>4791</v>
      </c>
      <c r="R1208" s="0" t="s">
        <v>4788</v>
      </c>
      <c r="S1208" s="0" t="s">
        <v>35</v>
      </c>
      <c r="T1208" s="0">
        <f>HYPERLINK("https://storage.sslt.ae/ItemVariation/08DCFA79-4719-4AAD-8BC0-282B02E501EA/8B41EC6F-B1B3-49C7-A6FC-68F71A53C869.png","Variant Image")</f>
      </c>
      <c r="U1208" s="0">
        <f>HYPERLINK("https://ec-qa-storage.kldlms.com/Item/08DCFA79-4719-4AAD-8BC0-282B02E501EA/BF0B944A-76E7-46AD-87F0-6C6D29F39BF4.jpg","Thumbnail Image")</f>
      </c>
      <c r="V1208" s="0">
        <f>HYPERLINK("https://ec-qa-storage.kldlms.com/ItemGallery/08DCFA79-4719-4AAD-8BC0-282B02E501EA/F1A4305D-9F7C-4EE8-AA08-7ED336C9955C.jpg","Gallery Image ")</f>
      </c>
      <c r="W1208" s="0" t="s">
        <v>22</v>
      </c>
    </row>
    <row r="1209">
      <c r="P1209" s="0" t="s">
        <v>593</v>
      </c>
      <c r="Q1209" s="0" t="s">
        <v>4790</v>
      </c>
      <c r="R1209" s="0" t="s">
        <v>4788</v>
      </c>
      <c r="S1209" s="0" t="s">
        <v>32</v>
      </c>
      <c r="T1209" s="0">
        <f>HYPERLINK("https://ec-qa-storage.kldlms.com/ItemVariation/08DCFA79-4719-4AAD-8BC0-282B02E501EA/508EFA98-198B-4F0B-B226-056D67BF0CF1.jpg","Variant Image")</f>
      </c>
    </row>
    <row r="1210">
      <c r="A1210" s="0" t="s">
        <v>4792</v>
      </c>
      <c r="B1210" s="0" t="s">
        <v>4792</v>
      </c>
      <c r="C1210" s="0" t="s">
        <v>4793</v>
      </c>
      <c r="D1210" s="0" t="s">
        <v>27</v>
      </c>
      <c r="E1210" s="0" t="s">
        <v>3136</v>
      </c>
      <c r="F1210" s="0" t="s">
        <v>3137</v>
      </c>
      <c r="G1210" s="0" t="s">
        <v>4792</v>
      </c>
      <c r="H1210" s="0" t="s">
        <v>4792</v>
      </c>
      <c r="I1210" s="0" t="s">
        <v>4794</v>
      </c>
      <c r="J1210" s="0" t="s">
        <v>4794</v>
      </c>
      <c r="K1210" s="0" t="s">
        <v>124</v>
      </c>
      <c r="L1210" s="0" t="s">
        <v>32</v>
      </c>
      <c r="M1210" s="0" t="s">
        <v>61</v>
      </c>
      <c r="N1210" s="0" t="s">
        <v>160</v>
      </c>
      <c r="O1210" s="0" t="s">
        <v>35</v>
      </c>
      <c r="P1210" s="0" t="s">
        <v>39</v>
      </c>
      <c r="Q1210" s="0" t="s">
        <v>4795</v>
      </c>
      <c r="R1210" s="0" t="s">
        <v>4793</v>
      </c>
      <c r="S1210" s="0" t="s">
        <v>160</v>
      </c>
      <c r="T1210" s="0">
        <f>HYPERLINK("https://storage.sslt.ae/ItemVariation/08DCFA79-4776-4850-8189-500CFC9C569E/E2C0725D-7F33-4881-BD8B-D3C7460EDA17.png","Variant Image")</f>
      </c>
      <c r="U1210" s="0">
        <f>HYPERLINK("https://ec-qa-storage.kldlms.com/Item/08DCFA79-4776-4850-8189-500CFC9C569E/8C88AD9A-ACDD-4816-8470-ED948D6B4E8F.jpg","Thumbnail Image")</f>
      </c>
      <c r="V1210" s="0">
        <f>HYPERLINK("https://ec-qa-storage.kldlms.com/ItemGallery/08DCFA79-4776-4850-8189-500CFC9C569E/0952F7E7-CF90-43D5-A459-D9846E3EFE67.jpg","Gallery Image ")</f>
      </c>
      <c r="W1210" s="0" t="s">
        <v>22</v>
      </c>
    </row>
    <row r="1211">
      <c r="P1211" s="0" t="s">
        <v>527</v>
      </c>
      <c r="Q1211" s="0" t="s">
        <v>124</v>
      </c>
      <c r="R1211" s="0" t="s">
        <v>4793</v>
      </c>
      <c r="S1211" s="0" t="s">
        <v>32</v>
      </c>
      <c r="T1211" s="0">
        <f>HYPERLINK("https://ec-qa-storage.kldlms.com/ItemVariation/08DCFA79-4776-4850-8189-500CFC9C569E/4703EDEA-57E2-4550-9492-2AABC46F85C3.jpg","Variant Image")</f>
      </c>
    </row>
    <row r="1212">
      <c r="A1212" s="0" t="s">
        <v>4796</v>
      </c>
      <c r="B1212" s="0" t="s">
        <v>4796</v>
      </c>
      <c r="C1212" s="0" t="s">
        <v>4797</v>
      </c>
      <c r="D1212" s="0" t="s">
        <v>27</v>
      </c>
      <c r="E1212" s="0" t="s">
        <v>4728</v>
      </c>
      <c r="F1212" s="0" t="s">
        <v>557</v>
      </c>
      <c r="G1212" s="0" t="s">
        <v>4796</v>
      </c>
      <c r="H1212" s="0" t="s">
        <v>4796</v>
      </c>
      <c r="I1212" s="0" t="s">
        <v>615</v>
      </c>
      <c r="J1212" s="0" t="s">
        <v>615</v>
      </c>
      <c r="K1212" s="0" t="s">
        <v>4798</v>
      </c>
      <c r="L1212" s="0" t="s">
        <v>32</v>
      </c>
      <c r="M1212" s="0" t="s">
        <v>33</v>
      </c>
      <c r="N1212" s="0" t="s">
        <v>337</v>
      </c>
      <c r="O1212" s="0" t="s">
        <v>35</v>
      </c>
      <c r="P1212" s="0" t="s">
        <v>39</v>
      </c>
      <c r="Q1212" s="0" t="s">
        <v>4799</v>
      </c>
      <c r="R1212" s="0" t="s">
        <v>4797</v>
      </c>
      <c r="S1212" s="0" t="s">
        <v>337</v>
      </c>
      <c r="T1212" s="0">
        <f>HYPERLINK("https://storage.sslt.ae/ItemVariation/08DCFA79-47D2-4FAE-89BC-0E4612994C15/361CA831-EDC3-4D0B-9F99-4455369E3DBC.png","Variant Image")</f>
      </c>
      <c r="U1212" s="0">
        <f>HYPERLINK("https://ec-qa-storage.kldlms.com/Item/08DCFA79-47D2-4FAE-89BC-0E4612994C15/379D88FC-6517-49F9-923F-6A16DC7AF3CE.png","Thumbnail Image")</f>
      </c>
      <c r="V1212" s="0">
        <f>HYPERLINK("https://ec-qa-storage.kldlms.com/ItemGallery/08DCFA79-47D2-4FAE-89BC-0E4612994C15/B0C798D0-A5BE-4A6E-8650-3BE137C19EEA.png","Gallery Image ")</f>
      </c>
      <c r="W1212" s="0" t="s">
        <v>22</v>
      </c>
      <c r="X1212" s="0" t="s">
        <v>4800</v>
      </c>
    </row>
    <row r="1213">
      <c r="A1213" s="0" t="s">
        <v>4801</v>
      </c>
      <c r="B1213" s="0" t="s">
        <v>4801</v>
      </c>
      <c r="C1213" s="0" t="s">
        <v>4802</v>
      </c>
      <c r="D1213" s="0" t="s">
        <v>27</v>
      </c>
      <c r="E1213" s="0" t="s">
        <v>3136</v>
      </c>
      <c r="F1213" s="0" t="s">
        <v>3137</v>
      </c>
      <c r="G1213" s="0" t="s">
        <v>4801</v>
      </c>
      <c r="H1213" s="0" t="s">
        <v>4801</v>
      </c>
      <c r="I1213" s="0" t="s">
        <v>4803</v>
      </c>
      <c r="J1213" s="0" t="s">
        <v>4803</v>
      </c>
      <c r="K1213" s="0" t="s">
        <v>4804</v>
      </c>
      <c r="L1213" s="0" t="s">
        <v>32</v>
      </c>
      <c r="M1213" s="0" t="s">
        <v>61</v>
      </c>
      <c r="N1213" s="0" t="s">
        <v>110</v>
      </c>
      <c r="O1213" s="0" t="s">
        <v>35</v>
      </c>
      <c r="P1213" s="0" t="s">
        <v>39</v>
      </c>
      <c r="Q1213" s="0" t="s">
        <v>4805</v>
      </c>
      <c r="R1213" s="0" t="s">
        <v>4802</v>
      </c>
      <c r="S1213" s="0" t="s">
        <v>110</v>
      </c>
      <c r="T1213" s="0">
        <f>HYPERLINK("https://storage.sslt.ae/ItemVariation/08DCFA79-482F-4676-85E8-EEF8AC3F8074/56C8205F-5F39-493D-8B00-9D14AAC912F3.png","Variant Image")</f>
      </c>
      <c r="U1213" s="0">
        <f>HYPERLINK("https://ec-qa-storage.kldlms.com/Item/08DCFA79-482F-4676-85E8-EEF8AC3F8074/4E84BE3A-E37E-4C5B-A7DF-C8644A1A4E96.jpg","Thumbnail Image")</f>
      </c>
      <c r="V1213" s="0">
        <f>HYPERLINK("https://ec-qa-storage.kldlms.com/ItemGallery/08DCFA79-482F-4676-85E8-EEF8AC3F8074/D5055BF7-AF43-48B6-8680-27ED33669B61.jpg","Gallery Image ")</f>
      </c>
      <c r="W1213" s="0" t="s">
        <v>22</v>
      </c>
    </row>
    <row r="1214">
      <c r="P1214" s="0" t="s">
        <v>527</v>
      </c>
      <c r="Q1214" s="0" t="s">
        <v>4804</v>
      </c>
      <c r="R1214" s="0" t="s">
        <v>4802</v>
      </c>
      <c r="S1214" s="0" t="s">
        <v>32</v>
      </c>
      <c r="T1214" s="0">
        <f>HYPERLINK("https://ec-qa-storage.kldlms.com/ItemVariation/08DCFA79-482F-4676-85E8-EEF8AC3F8074/0E9DC0A1-27BD-4DF4-9702-34CB71B58928.jpg","Variant Image")</f>
      </c>
    </row>
    <row r="1215">
      <c r="A1215" s="0" t="s">
        <v>3212</v>
      </c>
      <c r="B1215" s="0" t="s">
        <v>3212</v>
      </c>
      <c r="C1215" s="0" t="s">
        <v>4806</v>
      </c>
      <c r="D1215" s="0" t="s">
        <v>27</v>
      </c>
      <c r="E1215" s="0" t="s">
        <v>3136</v>
      </c>
      <c r="F1215" s="0" t="s">
        <v>3137</v>
      </c>
      <c r="G1215" s="0" t="s">
        <v>3212</v>
      </c>
      <c r="H1215" s="0" t="s">
        <v>3212</v>
      </c>
      <c r="I1215" s="0" t="s">
        <v>4807</v>
      </c>
      <c r="J1215" s="0" t="s">
        <v>4807</v>
      </c>
      <c r="K1215" s="0" t="s">
        <v>4808</v>
      </c>
      <c r="L1215" s="0" t="s">
        <v>32</v>
      </c>
      <c r="M1215" s="0" t="s">
        <v>61</v>
      </c>
      <c r="N1215" s="0" t="s">
        <v>155</v>
      </c>
      <c r="O1215" s="0" t="s">
        <v>35</v>
      </c>
      <c r="P1215" s="0" t="s">
        <v>39</v>
      </c>
      <c r="Q1215" s="0" t="s">
        <v>4809</v>
      </c>
      <c r="R1215" s="0" t="s">
        <v>4806</v>
      </c>
      <c r="S1215" s="0" t="s">
        <v>155</v>
      </c>
      <c r="T1215" s="0">
        <f>HYPERLINK("https://storage.sslt.ae/ItemVariation/08DCFA79-487D-4808-8541-EDCF9EB23400/03F3928A-2DBE-41C5-8E95-1E42ABF14136.png","Variant Image")</f>
      </c>
      <c r="U1215" s="0">
        <f>HYPERLINK("https://ec-qa-storage.kldlms.com/Item/08DCFA79-487D-4808-8541-EDCF9EB23400/23142DFF-8D52-463F-81C6-AB4D0EF01242.jpg","Thumbnail Image")</f>
      </c>
      <c r="V1215" s="0">
        <f>HYPERLINK("https://ec-qa-storage.kldlms.com/ItemGallery/08DCFA79-487D-4808-8541-EDCF9EB23400/FA424C24-936D-49C2-966A-800A42FF9F6F.jpg","Gallery Image ")</f>
      </c>
      <c r="W1215" s="0" t="s">
        <v>22</v>
      </c>
    </row>
    <row r="1216">
      <c r="P1216" s="0" t="s">
        <v>527</v>
      </c>
      <c r="Q1216" s="0" t="s">
        <v>4808</v>
      </c>
      <c r="R1216" s="0" t="s">
        <v>4806</v>
      </c>
      <c r="S1216" s="0" t="s">
        <v>32</v>
      </c>
      <c r="T1216" s="0">
        <f>HYPERLINK("https://ec-qa-storage.kldlms.com/ItemVariation/08DCFA79-487D-4808-8541-EDCF9EB23400/863F294C-83A7-48E9-9EA0-167658848C06.jpg","Variant Image")</f>
      </c>
    </row>
    <row r="1217">
      <c r="A1217" s="0" t="s">
        <v>4810</v>
      </c>
      <c r="B1217" s="0" t="s">
        <v>4810</v>
      </c>
      <c r="C1217" s="0" t="s">
        <v>4811</v>
      </c>
      <c r="D1217" s="0" t="s">
        <v>27</v>
      </c>
      <c r="E1217" s="0" t="s">
        <v>3136</v>
      </c>
      <c r="F1217" s="0" t="s">
        <v>3137</v>
      </c>
      <c r="G1217" s="0" t="s">
        <v>4810</v>
      </c>
      <c r="H1217" s="0" t="s">
        <v>4810</v>
      </c>
      <c r="I1217" s="0" t="s">
        <v>4812</v>
      </c>
      <c r="J1217" s="0" t="s">
        <v>4812</v>
      </c>
      <c r="K1217" s="0" t="s">
        <v>4813</v>
      </c>
      <c r="L1217" s="0" t="s">
        <v>32</v>
      </c>
      <c r="M1217" s="0" t="s">
        <v>61</v>
      </c>
      <c r="N1217" s="0" t="s">
        <v>110</v>
      </c>
      <c r="O1217" s="0" t="s">
        <v>35</v>
      </c>
      <c r="P1217" s="0" t="s">
        <v>39</v>
      </c>
      <c r="Q1217" s="0" t="s">
        <v>4814</v>
      </c>
      <c r="R1217" s="0" t="s">
        <v>4811</v>
      </c>
      <c r="S1217" s="0" t="s">
        <v>110</v>
      </c>
      <c r="T1217" s="0">
        <f>HYPERLINK("https://storage.sslt.ae/ItemVariation/08DCFA79-48D7-40C3-8309-664DC25334D2/0E741565-D397-42BF-85D1-14204571CC86.png","Variant Image")</f>
      </c>
      <c r="U1217" s="0">
        <f>HYPERLINK("https://ec-qa-storage.kldlms.com/Item/08DCFA79-48D7-40C3-8309-664DC25334D2/450B9567-F921-40F1-9A3A-316FE25766B3.jpg","Thumbnail Image")</f>
      </c>
      <c r="V1217" s="0">
        <f>HYPERLINK("https://ec-qa-storage.kldlms.com/ItemGallery/08DCFA79-48D7-40C3-8309-664DC25334D2/0C729ECC-EA55-4167-A242-4B1D59CC220A.jpg","Gallery Image ")</f>
      </c>
      <c r="W1217" s="0" t="s">
        <v>22</v>
      </c>
    </row>
    <row r="1218">
      <c r="P1218" s="0" t="s">
        <v>593</v>
      </c>
      <c r="Q1218" s="0" t="s">
        <v>4813</v>
      </c>
      <c r="R1218" s="0" t="s">
        <v>4811</v>
      </c>
      <c r="S1218" s="0" t="s">
        <v>32</v>
      </c>
      <c r="T1218" s="0">
        <f>HYPERLINK("https://ec-qa-storage.kldlms.com/ItemVariation/08DCFA79-48D7-40C3-8309-664DC25334D2/CE4A0307-81BC-4D6A-953B-5DD2E3ECAFEC.jpg","Variant Image")</f>
      </c>
    </row>
    <row r="1219">
      <c r="A1219" s="0" t="s">
        <v>4815</v>
      </c>
      <c r="B1219" s="0" t="s">
        <v>4815</v>
      </c>
      <c r="C1219" s="0" t="s">
        <v>4816</v>
      </c>
      <c r="D1219" s="0" t="s">
        <v>27</v>
      </c>
      <c r="E1219" s="0" t="s">
        <v>3136</v>
      </c>
      <c r="F1219" s="0" t="s">
        <v>3137</v>
      </c>
      <c r="G1219" s="0" t="s">
        <v>4815</v>
      </c>
      <c r="H1219" s="0" t="s">
        <v>4815</v>
      </c>
      <c r="I1219" s="0" t="s">
        <v>4817</v>
      </c>
      <c r="J1219" s="0" t="s">
        <v>4817</v>
      </c>
      <c r="K1219" s="0" t="s">
        <v>4818</v>
      </c>
      <c r="L1219" s="0" t="s">
        <v>32</v>
      </c>
      <c r="M1219" s="0" t="s">
        <v>61</v>
      </c>
      <c r="N1219" s="0" t="s">
        <v>164</v>
      </c>
      <c r="O1219" s="0" t="s">
        <v>35</v>
      </c>
      <c r="P1219" s="0" t="s">
        <v>39</v>
      </c>
      <c r="Q1219" s="0" t="s">
        <v>4819</v>
      </c>
      <c r="R1219" s="0" t="s">
        <v>4816</v>
      </c>
      <c r="S1219" s="0" t="s">
        <v>164</v>
      </c>
      <c r="T1219" s="0">
        <f>HYPERLINK("https://storage.sslt.ae/ItemVariation/08DCFA79-4933-4D27-8D9E-A9018867A8A4/00D19B25-2A87-48E2-87EB-830B2200EE8E.png","Variant Image")</f>
      </c>
      <c r="U1219" s="0">
        <f>HYPERLINK("https://ec-qa-storage.kldlms.com/Item/08DCFA79-4933-4D27-8D9E-A9018867A8A4/1B0B4B11-06A7-4DF9-8DE6-D60258C59E10.jpg","Thumbnail Image")</f>
      </c>
      <c r="V1219" s="0">
        <f>HYPERLINK("https://ec-qa-storage.kldlms.com/ItemGallery/08DCFA79-4933-4D27-8D9E-A9018867A8A4/35482EA4-D9F1-44D3-BA41-5A5CF7FFD620.jpg","Gallery Image ")</f>
      </c>
      <c r="W1219" s="0" t="s">
        <v>22</v>
      </c>
    </row>
    <row r="1220">
      <c r="P1220" s="0" t="s">
        <v>527</v>
      </c>
      <c r="Q1220" s="0" t="s">
        <v>4818</v>
      </c>
      <c r="R1220" s="0" t="s">
        <v>4816</v>
      </c>
      <c r="S1220" s="0" t="s">
        <v>32</v>
      </c>
      <c r="T1220" s="0">
        <f>HYPERLINK("https://ec-qa-storage.kldlms.com/ItemVariation/08DCFA79-4933-4D27-8D9E-A9018867A8A4/B6B0AA10-13BE-423E-8875-47BAD5615D24.jpg","Variant Image")</f>
      </c>
    </row>
    <row r="1221">
      <c r="A1221" s="0" t="s">
        <v>4815</v>
      </c>
      <c r="B1221" s="0" t="s">
        <v>4815</v>
      </c>
      <c r="C1221" s="0" t="s">
        <v>4820</v>
      </c>
      <c r="D1221" s="0" t="s">
        <v>27</v>
      </c>
      <c r="E1221" s="0" t="s">
        <v>3136</v>
      </c>
      <c r="F1221" s="0" t="s">
        <v>3137</v>
      </c>
      <c r="G1221" s="0" t="s">
        <v>4815</v>
      </c>
      <c r="H1221" s="0" t="s">
        <v>4815</v>
      </c>
      <c r="I1221" s="0" t="s">
        <v>4821</v>
      </c>
      <c r="J1221" s="0" t="s">
        <v>4821</v>
      </c>
      <c r="K1221" s="0" t="s">
        <v>4822</v>
      </c>
      <c r="L1221" s="0" t="s">
        <v>32</v>
      </c>
      <c r="M1221" s="0" t="s">
        <v>61</v>
      </c>
      <c r="N1221" s="0" t="s">
        <v>140</v>
      </c>
      <c r="O1221" s="0" t="s">
        <v>35</v>
      </c>
      <c r="P1221" s="0" t="s">
        <v>39</v>
      </c>
      <c r="Q1221" s="0" t="s">
        <v>4823</v>
      </c>
      <c r="R1221" s="0" t="s">
        <v>4820</v>
      </c>
      <c r="S1221" s="0" t="s">
        <v>140</v>
      </c>
      <c r="T1221" s="0">
        <f>HYPERLINK("https://storage.sslt.ae/ItemVariation/08DCFA79-49A0-4EBD-83CD-3ECF36EACF8B/2C13BEE2-DCD8-4C41-8213-B373DCAB03C1.png","Variant Image")</f>
      </c>
      <c r="U1221" s="0">
        <f>HYPERLINK("https://ec-qa-storage.kldlms.com/Item/08DCFA79-49A0-4EBD-83CD-3ECF36EACF8B/2BAA31C2-5B41-4DCC-B88C-730514F54BC0.jpg","Thumbnail Image")</f>
      </c>
      <c r="V1221" s="0">
        <f>HYPERLINK("https://ec-qa-storage.kldlms.com/ItemGallery/08DCFA79-49A0-4EBD-83CD-3ECF36EACF8B/780CFB01-B7B0-4527-BC49-AF621681482B.png","Gallery Image ")</f>
      </c>
      <c r="W1221" s="0" t="s">
        <v>22</v>
      </c>
    </row>
    <row r="1222">
      <c r="P1222" s="0" t="s">
        <v>527</v>
      </c>
      <c r="Q1222" s="0" t="s">
        <v>4822</v>
      </c>
      <c r="R1222" s="0" t="s">
        <v>4820</v>
      </c>
      <c r="S1222" s="0" t="s">
        <v>32</v>
      </c>
      <c r="T1222" s="0">
        <f>HYPERLINK("https://ec-qa-storage.kldlms.com/ItemVariation/08DCFA79-49A0-4EBD-83CD-3ECF36EACF8B/71906760-31DE-4E1E-9DA9-60ABE5BCE59B.jpg","Variant Image")</f>
      </c>
    </row>
    <row r="1223">
      <c r="A1223" s="0" t="s">
        <v>3316</v>
      </c>
      <c r="B1223" s="0" t="s">
        <v>3316</v>
      </c>
      <c r="C1223" s="0" t="s">
        <v>4824</v>
      </c>
      <c r="D1223" s="0" t="s">
        <v>27</v>
      </c>
      <c r="E1223" s="0" t="s">
        <v>4728</v>
      </c>
      <c r="F1223" s="0" t="s">
        <v>557</v>
      </c>
      <c r="G1223" s="0" t="s">
        <v>3316</v>
      </c>
      <c r="H1223" s="0" t="s">
        <v>3316</v>
      </c>
      <c r="I1223" s="0" t="s">
        <v>615</v>
      </c>
      <c r="J1223" s="0" t="s">
        <v>615</v>
      </c>
      <c r="K1223" s="0" t="s">
        <v>4825</v>
      </c>
      <c r="L1223" s="0" t="s">
        <v>32</v>
      </c>
      <c r="M1223" s="0" t="s">
        <v>33</v>
      </c>
      <c r="N1223" s="0" t="s">
        <v>280</v>
      </c>
      <c r="O1223" s="0" t="s">
        <v>35</v>
      </c>
      <c r="P1223" s="0" t="s">
        <v>39</v>
      </c>
      <c r="Q1223" s="0" t="s">
        <v>4826</v>
      </c>
      <c r="R1223" s="0" t="s">
        <v>4824</v>
      </c>
      <c r="S1223" s="0" t="s">
        <v>280</v>
      </c>
      <c r="T1223" s="0">
        <f>HYPERLINK("https://storage.sslt.ae/ItemVariation/08DCFA79-4BFA-41E0-8F84-B136C7163305/C805ED2B-74D2-4671-B6A6-113EE493603C.png","Variant Image")</f>
      </c>
      <c r="U1223" s="0">
        <f>HYPERLINK("https://ec-qa-storage.kldlms.com/Item/08DCFA79-4BFA-41E0-8F84-B136C7163305/7920616B-F53F-47F5-86AB-3058D0DEDAD6.png","Thumbnail Image")</f>
      </c>
      <c r="V1223" s="0">
        <f>HYPERLINK("https://ec-qa-storage.kldlms.com/ItemGallery/08DCFA79-4BFA-41E0-8F84-B136C7163305/98418099-CD01-4C4A-81E8-288BF9476591.png","Gallery Image ")</f>
      </c>
      <c r="W1223" s="0" t="s">
        <v>22</v>
      </c>
      <c r="X1223" s="0" t="s">
        <v>4827</v>
      </c>
    </row>
    <row r="1224">
      <c r="A1224" s="0" t="s">
        <v>4828</v>
      </c>
      <c r="B1224" s="0" t="s">
        <v>4828</v>
      </c>
      <c r="C1224" s="0" t="s">
        <v>4829</v>
      </c>
      <c r="D1224" s="0" t="s">
        <v>27</v>
      </c>
      <c r="E1224" s="0" t="s">
        <v>4728</v>
      </c>
      <c r="F1224" s="0" t="s">
        <v>557</v>
      </c>
      <c r="G1224" s="0" t="s">
        <v>4828</v>
      </c>
      <c r="H1224" s="0" t="s">
        <v>4828</v>
      </c>
      <c r="I1224" s="0" t="s">
        <v>615</v>
      </c>
      <c r="J1224" s="0" t="s">
        <v>615</v>
      </c>
      <c r="K1224" s="0" t="s">
        <v>4321</v>
      </c>
      <c r="L1224" s="0" t="s">
        <v>32</v>
      </c>
      <c r="M1224" s="0" t="s">
        <v>33</v>
      </c>
      <c r="N1224" s="0" t="s">
        <v>232</v>
      </c>
      <c r="O1224" s="0" t="s">
        <v>35</v>
      </c>
      <c r="P1224" s="0" t="s">
        <v>39</v>
      </c>
      <c r="Q1224" s="0" t="s">
        <v>4322</v>
      </c>
      <c r="R1224" s="0" t="s">
        <v>4829</v>
      </c>
      <c r="S1224" s="0" t="s">
        <v>232</v>
      </c>
      <c r="T1224" s="0">
        <f>HYPERLINK("https://storage.sslt.ae/ItemVariation/08DCFA79-4D09-437D-812F-DF7CCE944FB6/98B6F570-4365-433D-AADC-EC7247E09B78.png","Variant Image")</f>
      </c>
      <c r="U1224" s="0">
        <f>HYPERLINK("https://ec-qa-storage.kldlms.com/Item/08DCFA79-4D09-437D-812F-DF7CCE944FB6/56B4EFB2-8A9F-459F-9E20-065051F059F8.png","Thumbnail Image")</f>
      </c>
      <c r="V1224" s="0">
        <f>HYPERLINK("https://ec-qa-storage.kldlms.com/ItemGallery/08DCFA79-4D09-437D-812F-DF7CCE944FB6/0E93220B-09EF-4933-9832-A5C2FABE7F9B.png","Gallery Image ")</f>
      </c>
      <c r="W1224" s="0" t="s">
        <v>22</v>
      </c>
      <c r="X1224" s="0" t="s">
        <v>4830</v>
      </c>
    </row>
    <row r="1225">
      <c r="A1225" s="0" t="s">
        <v>4831</v>
      </c>
      <c r="B1225" s="0" t="s">
        <v>4831</v>
      </c>
      <c r="C1225" s="0" t="s">
        <v>4832</v>
      </c>
      <c r="D1225" s="0" t="s">
        <v>27</v>
      </c>
      <c r="E1225" s="0" t="s">
        <v>4728</v>
      </c>
      <c r="F1225" s="0" t="s">
        <v>557</v>
      </c>
      <c r="G1225" s="0" t="s">
        <v>4831</v>
      </c>
      <c r="H1225" s="0" t="s">
        <v>4831</v>
      </c>
      <c r="I1225" s="0" t="s">
        <v>615</v>
      </c>
      <c r="J1225" s="0" t="s">
        <v>615</v>
      </c>
      <c r="K1225" s="0" t="s">
        <v>3139</v>
      </c>
      <c r="L1225" s="0" t="s">
        <v>32</v>
      </c>
      <c r="M1225" s="0" t="s">
        <v>33</v>
      </c>
      <c r="N1225" s="0" t="s">
        <v>35</v>
      </c>
      <c r="O1225" s="0" t="s">
        <v>35</v>
      </c>
      <c r="P1225" s="0" t="s">
        <v>39</v>
      </c>
      <c r="Q1225" s="0" t="s">
        <v>3140</v>
      </c>
      <c r="R1225" s="0" t="s">
        <v>4832</v>
      </c>
      <c r="S1225" s="0" t="s">
        <v>35</v>
      </c>
      <c r="T1225" s="0">
        <f>HYPERLINK("https://storage.sslt.ae/ItemVariation/08DCFA79-4F31-4532-8C88-1554A4D42A06/22E8A02E-E88B-4E09-9B5F-3CE9C78F331E.png","Variant Image")</f>
      </c>
      <c r="U1225" s="0">
        <f>HYPERLINK("https://ec-qa-storage.kldlms.com/Item/08DCFA79-4F31-4532-8C88-1554A4D42A06/C973B810-D8DA-41CA-8671-438B5E082485.png","Thumbnail Image")</f>
      </c>
      <c r="V1225" s="0">
        <f>HYPERLINK("https://ec-qa-storage.kldlms.com/ItemGallery/08DCFA79-4F31-4532-8C88-1554A4D42A06/1B25F1CE-A781-44BD-B18E-2B33C253C599.png","Gallery Image ")</f>
      </c>
      <c r="W1225" s="0" t="s">
        <v>22</v>
      </c>
      <c r="X1225" s="0" t="s">
        <v>4833</v>
      </c>
    </row>
    <row r="1226">
      <c r="A1226" s="0" t="s">
        <v>4834</v>
      </c>
      <c r="B1226" s="0" t="s">
        <v>4834</v>
      </c>
      <c r="C1226" s="0" t="s">
        <v>4835</v>
      </c>
      <c r="D1226" s="0" t="s">
        <v>27</v>
      </c>
      <c r="E1226" s="0" t="s">
        <v>4728</v>
      </c>
      <c r="F1226" s="0" t="s">
        <v>557</v>
      </c>
      <c r="G1226" s="0" t="s">
        <v>4834</v>
      </c>
      <c r="H1226" s="0" t="s">
        <v>4834</v>
      </c>
      <c r="I1226" s="0" t="s">
        <v>615</v>
      </c>
      <c r="J1226" s="0" t="s">
        <v>615</v>
      </c>
      <c r="K1226" s="0" t="s">
        <v>4836</v>
      </c>
      <c r="L1226" s="0" t="s">
        <v>32</v>
      </c>
      <c r="M1226" s="0" t="s">
        <v>33</v>
      </c>
      <c r="N1226" s="0" t="s">
        <v>4837</v>
      </c>
      <c r="O1226" s="0" t="s">
        <v>35</v>
      </c>
      <c r="P1226" s="0" t="s">
        <v>39</v>
      </c>
      <c r="Q1226" s="0" t="s">
        <v>4838</v>
      </c>
      <c r="R1226" s="0" t="s">
        <v>4835</v>
      </c>
      <c r="S1226" s="0" t="s">
        <v>4837</v>
      </c>
      <c r="T1226" s="0">
        <f>HYPERLINK("https://storage.sslt.ae/ItemVariation/08DCFA79-4F8D-4784-8753-4F573506CB89/83CE625D-D6B9-4474-86CB-9BCA186D3F27.png","Variant Image")</f>
      </c>
      <c r="U1226" s="0">
        <f>HYPERLINK("https://ec-qa-storage.kldlms.com/Item/08DCFA79-4F8D-4784-8753-4F573506CB89/BA254BB9-85DC-40EE-B338-E3BADF5A1929.png","Thumbnail Image")</f>
      </c>
      <c r="V1226" s="0">
        <f>HYPERLINK("https://ec-qa-storage.kldlms.com/ItemGallery/08DCFA79-4F8D-4784-8753-4F573506CB89/ADD445FF-4CBE-4B22-A820-7C9FE379EC25.png","Gallery Image ")</f>
      </c>
      <c r="W1226" s="0" t="s">
        <v>22</v>
      </c>
      <c r="X1226" s="0" t="s">
        <v>4839</v>
      </c>
    </row>
    <row r="1227">
      <c r="A1227" s="0" t="s">
        <v>4840</v>
      </c>
      <c r="B1227" s="0" t="s">
        <v>4840</v>
      </c>
      <c r="C1227" s="0" t="s">
        <v>4841</v>
      </c>
      <c r="D1227" s="0" t="s">
        <v>27</v>
      </c>
      <c r="E1227" s="0" t="s">
        <v>4728</v>
      </c>
      <c r="F1227" s="0" t="s">
        <v>557</v>
      </c>
      <c r="G1227" s="0" t="s">
        <v>4840</v>
      </c>
      <c r="H1227" s="0" t="s">
        <v>4840</v>
      </c>
      <c r="I1227" s="0" t="s">
        <v>615</v>
      </c>
      <c r="J1227" s="0" t="s">
        <v>615</v>
      </c>
      <c r="K1227" s="0" t="s">
        <v>4842</v>
      </c>
      <c r="L1227" s="0" t="s">
        <v>32</v>
      </c>
      <c r="M1227" s="0" t="s">
        <v>33</v>
      </c>
      <c r="N1227" s="0" t="s">
        <v>142</v>
      </c>
      <c r="O1227" s="0" t="s">
        <v>35</v>
      </c>
      <c r="P1227" s="0" t="s">
        <v>39</v>
      </c>
      <c r="Q1227" s="0" t="s">
        <v>4843</v>
      </c>
      <c r="R1227" s="0" t="s">
        <v>4841</v>
      </c>
      <c r="S1227" s="0" t="s">
        <v>142</v>
      </c>
      <c r="T1227" s="0">
        <f>HYPERLINK("https://storage.sslt.ae/ItemVariation/08DCFA79-4FE9-4CE0-81B8-39D5F6921E65/B964E3E6-F94A-4AFE-BC7F-6ED61AB748E6.png","Variant Image")</f>
      </c>
      <c r="U1227" s="0">
        <f>HYPERLINK("https://ec-qa-storage.kldlms.com/Item/08DCFA79-4FE9-4CE0-81B8-39D5F6921E65/5FF6B67A-56D8-4DE6-915B-2FCE1020256A.png","Thumbnail Image")</f>
      </c>
      <c r="V1227" s="0">
        <f>HYPERLINK("https://ec-qa-storage.kldlms.com/ItemGallery/08DCFA79-4FE9-4CE0-81B8-39D5F6921E65/5B7618D1-E65D-468D-A9A0-45EA61CAFDD5.png","Gallery Image ")</f>
      </c>
      <c r="W1227" s="0" t="s">
        <v>22</v>
      </c>
      <c r="X1227" s="0" t="s">
        <v>4844</v>
      </c>
    </row>
    <row r="1228">
      <c r="A1228" s="0" t="s">
        <v>4845</v>
      </c>
      <c r="B1228" s="0" t="s">
        <v>4845</v>
      </c>
      <c r="C1228" s="0" t="s">
        <v>4846</v>
      </c>
      <c r="D1228" s="0" t="s">
        <v>27</v>
      </c>
      <c r="E1228" s="0" t="s">
        <v>4728</v>
      </c>
      <c r="F1228" s="0" t="s">
        <v>557</v>
      </c>
      <c r="G1228" s="0" t="s">
        <v>4845</v>
      </c>
      <c r="H1228" s="0" t="s">
        <v>4845</v>
      </c>
      <c r="I1228" s="0" t="s">
        <v>615</v>
      </c>
      <c r="J1228" s="0" t="s">
        <v>615</v>
      </c>
      <c r="K1228" s="0" t="s">
        <v>4847</v>
      </c>
      <c r="L1228" s="0" t="s">
        <v>32</v>
      </c>
      <c r="M1228" s="0" t="s">
        <v>33</v>
      </c>
      <c r="N1228" s="0" t="s">
        <v>218</v>
      </c>
      <c r="O1228" s="0" t="s">
        <v>35</v>
      </c>
      <c r="P1228" s="0" t="s">
        <v>39</v>
      </c>
      <c r="Q1228" s="0" t="s">
        <v>4848</v>
      </c>
      <c r="R1228" s="0" t="s">
        <v>4846</v>
      </c>
      <c r="S1228" s="0" t="s">
        <v>218</v>
      </c>
      <c r="T1228" s="0">
        <f>HYPERLINK("https://storage.sslt.ae/ItemVariation/08DCFA79-5044-40C5-8DE7-B9041ED9B021/A61BA4B4-406E-4804-9468-533670125098.png","Variant Image")</f>
      </c>
      <c r="U1228" s="0">
        <f>HYPERLINK("https://ec-qa-storage.kldlms.com/Item/08DCFA79-5044-40C5-8DE7-B9041ED9B021/2F241007-F1A4-480B-9AFD-BA77E24A7B79.png","Thumbnail Image")</f>
      </c>
      <c r="V1228" s="0">
        <f>HYPERLINK("https://ec-qa-storage.kldlms.com/ItemGallery/08DCFA79-5044-40C5-8DE7-B9041ED9B021/3731D366-F5D0-4805-8EED-58600871BDA6.png","Gallery Image ")</f>
      </c>
      <c r="W1228" s="0" t="s">
        <v>22</v>
      </c>
      <c r="X1228" s="0" t="s">
        <v>4849</v>
      </c>
    </row>
    <row r="1229">
      <c r="A1229" s="0" t="s">
        <v>4845</v>
      </c>
      <c r="B1229" s="0" t="s">
        <v>4845</v>
      </c>
      <c r="C1229" s="0" t="s">
        <v>4850</v>
      </c>
      <c r="D1229" s="0" t="s">
        <v>27</v>
      </c>
      <c r="E1229" s="0" t="s">
        <v>4728</v>
      </c>
      <c r="F1229" s="0" t="s">
        <v>557</v>
      </c>
      <c r="G1229" s="0" t="s">
        <v>4845</v>
      </c>
      <c r="H1229" s="0" t="s">
        <v>4845</v>
      </c>
      <c r="I1229" s="0" t="s">
        <v>615</v>
      </c>
      <c r="J1229" s="0" t="s">
        <v>615</v>
      </c>
      <c r="K1229" s="0" t="s">
        <v>3179</v>
      </c>
      <c r="L1229" s="0" t="s">
        <v>32</v>
      </c>
      <c r="M1229" s="0" t="s">
        <v>33</v>
      </c>
      <c r="N1229" s="0" t="s">
        <v>202</v>
      </c>
      <c r="O1229" s="0" t="s">
        <v>35</v>
      </c>
      <c r="P1229" s="0" t="s">
        <v>39</v>
      </c>
      <c r="Q1229" s="0" t="s">
        <v>3180</v>
      </c>
      <c r="R1229" s="0" t="s">
        <v>4850</v>
      </c>
      <c r="S1229" s="0" t="s">
        <v>202</v>
      </c>
      <c r="T1229" s="0">
        <f>HYPERLINK("https://storage.sslt.ae/ItemVariation/08DCFA79-50A0-4579-8156-EF04BCB31FC7/611FEB24-2DCC-49BA-B31E-D5D1416378C9.png","Variant Image")</f>
      </c>
      <c r="U1229" s="0">
        <f>HYPERLINK("https://ec-qa-storage.kldlms.com/Item/08DCFA79-50A0-4579-8156-EF04BCB31FC7/823E078C-12E6-4C64-A530-A58C72198251.png","Thumbnail Image")</f>
      </c>
      <c r="V1229" s="0">
        <f>HYPERLINK("https://ec-qa-storage.kldlms.com/ItemGallery/08DCFA79-50A0-4579-8156-EF04BCB31FC7/8343475F-3CC5-4BE3-A19C-74E6ABBAD16F.png","Gallery Image ")</f>
      </c>
      <c r="W1229" s="0" t="s">
        <v>22</v>
      </c>
      <c r="X1229" s="0" t="s">
        <v>4851</v>
      </c>
    </row>
    <row r="1230">
      <c r="A1230" s="0" t="s">
        <v>4845</v>
      </c>
      <c r="B1230" s="0" t="s">
        <v>4845</v>
      </c>
      <c r="C1230" s="0" t="s">
        <v>4852</v>
      </c>
      <c r="D1230" s="0" t="s">
        <v>27</v>
      </c>
      <c r="E1230" s="0" t="s">
        <v>4728</v>
      </c>
      <c r="F1230" s="0" t="s">
        <v>557</v>
      </c>
      <c r="G1230" s="0" t="s">
        <v>4845</v>
      </c>
      <c r="H1230" s="0" t="s">
        <v>4845</v>
      </c>
      <c r="I1230" s="0" t="s">
        <v>615</v>
      </c>
      <c r="J1230" s="0" t="s">
        <v>615</v>
      </c>
      <c r="K1230" s="0" t="s">
        <v>4842</v>
      </c>
      <c r="L1230" s="0" t="s">
        <v>32</v>
      </c>
      <c r="M1230" s="0" t="s">
        <v>33</v>
      </c>
      <c r="N1230" s="0" t="s">
        <v>32</v>
      </c>
      <c r="O1230" s="0" t="s">
        <v>35</v>
      </c>
      <c r="P1230" s="0" t="s">
        <v>39</v>
      </c>
      <c r="Q1230" s="0" t="s">
        <v>4843</v>
      </c>
      <c r="R1230" s="0" t="s">
        <v>4852</v>
      </c>
      <c r="S1230" s="0" t="s">
        <v>92</v>
      </c>
      <c r="T1230" s="0">
        <f>HYPERLINK("https://storage.sslt.ae/ItemVariation/08DCFA79-50FE-4B01-8BD3-24E8D0D83BE5/6D137F7E-5088-48F1-B9A3-E4D8821055EB.png","Variant Image")</f>
      </c>
      <c r="U1230" s="0">
        <f>HYPERLINK("https://ec-qa-storage.kldlms.com/Item/08DCFA79-50FE-4B01-8BD3-24E8D0D83BE5/FFCAFEE4-CF64-45B9-B3A6-A3C8F89E2093.png","Thumbnail Image")</f>
      </c>
      <c r="V1230" s="0">
        <f>HYPERLINK("https://ec-qa-storage.kldlms.com/ItemGallery/08DCFA79-50FE-4B01-8BD3-24E8D0D83BE5/EF00982C-8C71-4337-AA43-7CDA3DEEC696.png","Gallery Image ")</f>
      </c>
      <c r="W1230" s="0" t="s">
        <v>22</v>
      </c>
      <c r="X1230" s="0" t="s">
        <v>4853</v>
      </c>
    </row>
    <row r="1231">
      <c r="A1231" s="0" t="s">
        <v>4840</v>
      </c>
      <c r="B1231" s="0" t="s">
        <v>4840</v>
      </c>
      <c r="C1231" s="0" t="s">
        <v>4854</v>
      </c>
      <c r="D1231" s="0" t="s">
        <v>27</v>
      </c>
      <c r="E1231" s="0" t="s">
        <v>3136</v>
      </c>
      <c r="F1231" s="0" t="s">
        <v>3137</v>
      </c>
      <c r="G1231" s="0" t="s">
        <v>4840</v>
      </c>
      <c r="H1231" s="0" t="s">
        <v>4840</v>
      </c>
      <c r="I1231" s="0" t="s">
        <v>4855</v>
      </c>
      <c r="J1231" s="0" t="s">
        <v>4855</v>
      </c>
      <c r="K1231" s="0" t="s">
        <v>4856</v>
      </c>
      <c r="L1231" s="0" t="s">
        <v>32</v>
      </c>
      <c r="M1231" s="0" t="s">
        <v>61</v>
      </c>
      <c r="N1231" s="0" t="s">
        <v>32</v>
      </c>
      <c r="O1231" s="0" t="s">
        <v>35</v>
      </c>
      <c r="P1231" s="0" t="s">
        <v>39</v>
      </c>
      <c r="Q1231" s="0" t="s">
        <v>4857</v>
      </c>
      <c r="R1231" s="0" t="s">
        <v>4854</v>
      </c>
      <c r="S1231" s="0" t="s">
        <v>32</v>
      </c>
      <c r="T1231" s="0">
        <f>HYPERLINK("https://storage.sslt.ae/ItemVariation/08DCFA79-526B-4EC4-8CF3-206C7B371294/9B0E13FD-D719-4254-9749-446D8956E928.png","Variant Image")</f>
      </c>
      <c r="U1231" s="0">
        <f>HYPERLINK("https://ec-qa-storage.kldlms.com/Item/08DCFA79-526B-4EC4-8CF3-206C7B371294/676504B6-086D-4DF6-A0E8-B28775EED134.jpg","Thumbnail Image")</f>
      </c>
      <c r="V1231" s="0">
        <f>HYPERLINK("https://ec-qa-storage.kldlms.com/ItemGallery/08DCFA79-526B-4EC4-8CF3-206C7B371294/B608A008-CABA-4CEE-BEE1-499103254CC1.jpg","Gallery Image ")</f>
      </c>
      <c r="W1231" s="0" t="s">
        <v>22</v>
      </c>
    </row>
    <row r="1232">
      <c r="P1232" s="0" t="s">
        <v>593</v>
      </c>
      <c r="Q1232" s="0" t="s">
        <v>4856</v>
      </c>
      <c r="R1232" s="0" t="s">
        <v>4854</v>
      </c>
      <c r="S1232" s="0" t="s">
        <v>32</v>
      </c>
      <c r="T1232" s="0">
        <f>HYPERLINK("https://ec-qa-storage.kldlms.com/ItemVariation/08DCFA79-526B-4EC4-8CF3-206C7B371294/1C4480FF-ED2E-4068-8186-91A7AB5F077D.jpg","Variant Image")</f>
      </c>
    </row>
    <row r="1233">
      <c r="A1233" s="0" t="s">
        <v>4845</v>
      </c>
      <c r="B1233" s="0" t="s">
        <v>4845</v>
      </c>
      <c r="C1233" s="0" t="s">
        <v>4858</v>
      </c>
      <c r="D1233" s="0" t="s">
        <v>27</v>
      </c>
      <c r="E1233" s="0" t="s">
        <v>3136</v>
      </c>
      <c r="F1233" s="0" t="s">
        <v>3137</v>
      </c>
      <c r="G1233" s="0" t="s">
        <v>4845</v>
      </c>
      <c r="H1233" s="0" t="s">
        <v>4845</v>
      </c>
      <c r="I1233" s="0" t="s">
        <v>4859</v>
      </c>
      <c r="J1233" s="0" t="s">
        <v>4859</v>
      </c>
      <c r="K1233" s="0" t="s">
        <v>66</v>
      </c>
      <c r="L1233" s="0" t="s">
        <v>32</v>
      </c>
      <c r="M1233" s="0" t="s">
        <v>61</v>
      </c>
      <c r="N1233" s="0" t="s">
        <v>32</v>
      </c>
      <c r="O1233" s="0" t="s">
        <v>35</v>
      </c>
      <c r="P1233" s="0" t="s">
        <v>39</v>
      </c>
      <c r="Q1233" s="0" t="s">
        <v>4860</v>
      </c>
      <c r="R1233" s="0" t="s">
        <v>4858</v>
      </c>
      <c r="S1233" s="0" t="s">
        <v>32</v>
      </c>
      <c r="T1233" s="0">
        <f>HYPERLINK("https://storage.sslt.ae/ItemVariation/08DCFA79-5323-4121-82F5-904EF2585268/8329B0BA-9D81-4647-91BF-CC7C33778771.png","Variant Image")</f>
      </c>
      <c r="U1233" s="0">
        <f>HYPERLINK("https://ec-qa-storage.kldlms.com/Item/08DCFA79-5323-4121-82F5-904EF2585268/624CD76A-C937-409E-9DA9-246DA6D9D061.jpg","Thumbnail Image")</f>
      </c>
      <c r="V1233" s="0">
        <f>HYPERLINK("https://ec-qa-storage.kldlms.com/ItemGallery/08DCFA79-5323-4121-82F5-904EF2585268/CF8094D7-32DE-4F64-A2A0-D977C54AC196.jpg","Gallery Image ")</f>
      </c>
      <c r="W1233" s="0" t="s">
        <v>22</v>
      </c>
    </row>
    <row r="1234">
      <c r="P1234" s="0" t="s">
        <v>527</v>
      </c>
      <c r="Q1234" s="0" t="s">
        <v>66</v>
      </c>
      <c r="R1234" s="0" t="s">
        <v>4858</v>
      </c>
      <c r="S1234" s="0" t="s">
        <v>32</v>
      </c>
      <c r="T1234" s="0">
        <f>HYPERLINK("https://ec-qa-storage.kldlms.com/ItemVariation/08DCFA79-5323-4121-82F5-904EF2585268/CB9439A7-D435-4CFE-8322-0BA94ADE3EC0.jpg","Variant Image")</f>
      </c>
    </row>
    <row r="1235">
      <c r="P1235" s="0" t="s">
        <v>1016</v>
      </c>
      <c r="Q1235" s="0" t="s">
        <v>66</v>
      </c>
      <c r="R1235" s="0" t="s">
        <v>4861</v>
      </c>
      <c r="S1235" s="0" t="s">
        <v>32</v>
      </c>
      <c r="T1235" s="0">
        <f>HYPERLINK("https://ec-qa-storage.kldlms.com/ItemVariation/08DCFA79-5323-4121-82F5-904EF2585268/21438C9E-F413-4873-8D24-7C86859E19A5.jpg","Variant Image")</f>
      </c>
    </row>
    <row r="1236">
      <c r="A1236" s="0" t="s">
        <v>4845</v>
      </c>
      <c r="B1236" s="0" t="s">
        <v>4845</v>
      </c>
      <c r="C1236" s="0" t="s">
        <v>4862</v>
      </c>
      <c r="D1236" s="0" t="s">
        <v>27</v>
      </c>
      <c r="E1236" s="0" t="s">
        <v>3136</v>
      </c>
      <c r="F1236" s="0" t="s">
        <v>3137</v>
      </c>
      <c r="G1236" s="0" t="s">
        <v>4845</v>
      </c>
      <c r="H1236" s="0" t="s">
        <v>4845</v>
      </c>
      <c r="I1236" s="0" t="s">
        <v>4859</v>
      </c>
      <c r="J1236" s="0" t="s">
        <v>4859</v>
      </c>
      <c r="K1236" s="0" t="s">
        <v>1041</v>
      </c>
      <c r="L1236" s="0" t="s">
        <v>32</v>
      </c>
      <c r="M1236" s="0" t="s">
        <v>61</v>
      </c>
      <c r="N1236" s="0" t="s">
        <v>32</v>
      </c>
      <c r="O1236" s="0" t="s">
        <v>35</v>
      </c>
      <c r="P1236" s="0" t="s">
        <v>39</v>
      </c>
      <c r="Q1236" s="0" t="s">
        <v>4863</v>
      </c>
      <c r="R1236" s="0" t="s">
        <v>4862</v>
      </c>
      <c r="S1236" s="0" t="s">
        <v>32</v>
      </c>
      <c r="T1236" s="0">
        <f>HYPERLINK("https://storage.sslt.ae/ItemVariation/08DCFA79-53DC-46AF-88A7-82DD85B335FB/1B76F42D-1581-487D-B278-9A6BE7F9642D.png","Variant Image")</f>
      </c>
      <c r="U1236" s="0">
        <f>HYPERLINK("https://ec-qa-storage.kldlms.com/Item/08DCFA79-53DC-46AF-88A7-82DD85B335FB/6C180827-F4A6-4D7C-BFB3-B26B398D671C.jpg","Thumbnail Image")</f>
      </c>
      <c r="V1236" s="0">
        <f>HYPERLINK("https://ec-qa-storage.kldlms.com/ItemGallery/08DCFA79-53DC-46AF-88A7-82DD85B335FB/6903878D-A295-46E2-ADCC-18618E9ABF1A.jpg","Gallery Image ")</f>
      </c>
      <c r="W1236" s="0" t="s">
        <v>22</v>
      </c>
    </row>
    <row r="1237">
      <c r="P1237" s="0" t="s">
        <v>527</v>
      </c>
      <c r="Q1237" s="0" t="s">
        <v>1041</v>
      </c>
      <c r="R1237" s="0" t="s">
        <v>4862</v>
      </c>
      <c r="S1237" s="0" t="s">
        <v>32</v>
      </c>
      <c r="T1237" s="0">
        <f>HYPERLINK("https://ec-qa-storage.kldlms.com/ItemVariation/08DCFA79-53DC-46AF-88A7-82DD85B335FB/E1F6E9B9-B4A9-46DE-9708-F4E76F9E3D61.jpg","Variant Image")</f>
      </c>
    </row>
    <row r="1238">
      <c r="P1238" s="0" t="s">
        <v>593</v>
      </c>
      <c r="Q1238" s="0" t="s">
        <v>1041</v>
      </c>
      <c r="R1238" s="0" t="s">
        <v>4864</v>
      </c>
      <c r="S1238" s="0" t="s">
        <v>32</v>
      </c>
      <c r="T1238" s="0">
        <f>HYPERLINK("https://ec-qa-storage.kldlms.com/ItemVariation/08DCFA79-53DC-46AF-88A7-82DD85B335FB/D21EB519-34FB-4B21-8A15-6ADDF353DAFF.jpg","Variant Image")</f>
      </c>
    </row>
    <row r="1239">
      <c r="A1239" s="0" t="s">
        <v>4865</v>
      </c>
      <c r="B1239" s="0" t="s">
        <v>4865</v>
      </c>
      <c r="C1239" s="0" t="s">
        <v>4866</v>
      </c>
      <c r="D1239" s="0" t="s">
        <v>27</v>
      </c>
      <c r="E1239" s="0" t="s">
        <v>3136</v>
      </c>
      <c r="F1239" s="0" t="s">
        <v>3137</v>
      </c>
      <c r="G1239" s="0" t="s">
        <v>4865</v>
      </c>
      <c r="H1239" s="0" t="s">
        <v>4865</v>
      </c>
      <c r="I1239" s="0" t="s">
        <v>4867</v>
      </c>
      <c r="J1239" s="0" t="s">
        <v>4867</v>
      </c>
      <c r="K1239" s="0" t="s">
        <v>4868</v>
      </c>
      <c r="L1239" s="0" t="s">
        <v>32</v>
      </c>
      <c r="M1239" s="0" t="s">
        <v>61</v>
      </c>
      <c r="N1239" s="0" t="s">
        <v>32</v>
      </c>
      <c r="O1239" s="0" t="s">
        <v>35</v>
      </c>
      <c r="P1239" s="0" t="s">
        <v>39</v>
      </c>
      <c r="Q1239" s="0" t="s">
        <v>4869</v>
      </c>
      <c r="R1239" s="0" t="s">
        <v>4866</v>
      </c>
      <c r="S1239" s="0" t="s">
        <v>32</v>
      </c>
      <c r="T1239" s="0">
        <f>HYPERLINK("https://storage.sslt.ae/ItemVariation/08DCFA79-5494-464B-81AB-E423B24CD0EE/E6B707A5-665E-41DC-AF44-05FC7F23A60D.png","Variant Image")</f>
      </c>
      <c r="U1239" s="0">
        <f>HYPERLINK("https://ec-qa-storage.kldlms.com/Item/08DCFA79-5494-464B-81AB-E423B24CD0EE/4DD75430-E653-44EF-822E-89289D3A738D.jpg","Thumbnail Image")</f>
      </c>
      <c r="V1239" s="0">
        <f>HYPERLINK("https://ec-qa-storage.kldlms.com/ItemGallery/08DCFA79-5494-464B-81AB-E423B24CD0EE/C3469C85-FF9F-46BF-A325-6C14D5FB158D.jpg","Gallery Image ")</f>
      </c>
      <c r="W1239" s="0" t="s">
        <v>22</v>
      </c>
    </row>
    <row r="1240">
      <c r="P1240" s="0" t="s">
        <v>527</v>
      </c>
      <c r="Q1240" s="0" t="s">
        <v>4868</v>
      </c>
      <c r="R1240" s="0" t="s">
        <v>4866</v>
      </c>
      <c r="S1240" s="0" t="s">
        <v>32</v>
      </c>
      <c r="T1240" s="0">
        <f>HYPERLINK("https://ec-qa-storage.kldlms.com/ItemVariation/08DCFA79-5494-464B-81AB-E423B24CD0EE/DFC68500-B3F5-4A2D-82A1-8EBBBFBD14E4.jpg","Variant Image")</f>
      </c>
    </row>
    <row r="1241">
      <c r="P1241" s="0" t="s">
        <v>593</v>
      </c>
      <c r="Q1241" s="0" t="s">
        <v>4868</v>
      </c>
      <c r="R1241" s="0" t="s">
        <v>4870</v>
      </c>
      <c r="S1241" s="0" t="s">
        <v>32</v>
      </c>
      <c r="T1241" s="0">
        <f>HYPERLINK("https://ec-qa-storage.kldlms.com/ItemVariation/08DCFA79-5494-464B-81AB-E423B24CD0EE/07597C12-C42A-49CE-904F-218DCE37C426.jpg","Variant Image")</f>
      </c>
    </row>
    <row r="1242">
      <c r="A1242" s="0" t="s">
        <v>4831</v>
      </c>
      <c r="B1242" s="0" t="s">
        <v>4831</v>
      </c>
      <c r="C1242" s="0" t="s">
        <v>4871</v>
      </c>
      <c r="D1242" s="0" t="s">
        <v>27</v>
      </c>
      <c r="E1242" s="0" t="s">
        <v>3136</v>
      </c>
      <c r="F1242" s="0" t="s">
        <v>3137</v>
      </c>
      <c r="G1242" s="0" t="s">
        <v>4831</v>
      </c>
      <c r="H1242" s="0" t="s">
        <v>4831</v>
      </c>
      <c r="I1242" s="0" t="s">
        <v>4872</v>
      </c>
      <c r="J1242" s="0" t="s">
        <v>4872</v>
      </c>
      <c r="K1242" s="0" t="s">
        <v>706</v>
      </c>
      <c r="L1242" s="0" t="s">
        <v>32</v>
      </c>
      <c r="M1242" s="0" t="s">
        <v>61</v>
      </c>
      <c r="N1242" s="0" t="s">
        <v>32</v>
      </c>
      <c r="O1242" s="0" t="s">
        <v>35</v>
      </c>
      <c r="P1242" s="0" t="s">
        <v>39</v>
      </c>
      <c r="Q1242" s="0" t="s">
        <v>4873</v>
      </c>
      <c r="R1242" s="0" t="s">
        <v>4871</v>
      </c>
      <c r="S1242" s="0" t="s">
        <v>32</v>
      </c>
      <c r="T1242" s="0">
        <f>HYPERLINK("https://storage.sslt.ae/ItemVariation/08DCFA79-55A8-4428-84ED-1EC45C079B3F/4B9082DD-5469-4DB3-AF5A-742E2464D2B7.png","Variant Image")</f>
      </c>
      <c r="U1242" s="0">
        <f>HYPERLINK("https://ec-qa-storage.kldlms.com/Item/08DCFA79-55A8-4428-84ED-1EC45C079B3F/B3CFB2FB-4E2C-4F60-9020-2046C8BC999A.jpg","Thumbnail Image")</f>
      </c>
      <c r="V1242" s="0">
        <f>HYPERLINK("https://ec-qa-storage.kldlms.com/ItemGallery/08DCFA79-55A8-4428-84ED-1EC45C079B3F/0CE79EFB-3B01-4100-BF8D-CE99682DCA3E.jpg","Gallery Image ")</f>
      </c>
      <c r="W1242" s="0" t="s">
        <v>22</v>
      </c>
    </row>
    <row r="1243">
      <c r="P1243" s="0" t="s">
        <v>527</v>
      </c>
      <c r="Q1243" s="0" t="s">
        <v>706</v>
      </c>
      <c r="R1243" s="0" t="s">
        <v>4871</v>
      </c>
      <c r="S1243" s="0" t="s">
        <v>32</v>
      </c>
      <c r="T1243" s="0">
        <f>HYPERLINK("https://ec-qa-storage.kldlms.com/ItemVariation/08DCFA79-55A8-4428-84ED-1EC45C079B3F/5C5BEB4D-7266-4E70-92F9-9E3B75B9ABC1.jpg","Variant Image")</f>
      </c>
    </row>
    <row r="1244">
      <c r="A1244" s="0" t="s">
        <v>4732</v>
      </c>
      <c r="B1244" s="0" t="s">
        <v>4732</v>
      </c>
      <c r="C1244" s="0" t="s">
        <v>4874</v>
      </c>
      <c r="D1244" s="0" t="s">
        <v>27</v>
      </c>
      <c r="E1244" s="0" t="s">
        <v>3136</v>
      </c>
      <c r="F1244" s="0" t="s">
        <v>3137</v>
      </c>
      <c r="G1244" s="0" t="s">
        <v>4732</v>
      </c>
      <c r="H1244" s="0" t="s">
        <v>4732</v>
      </c>
      <c r="I1244" s="0" t="s">
        <v>4875</v>
      </c>
      <c r="J1244" s="0" t="s">
        <v>4875</v>
      </c>
      <c r="K1244" s="0" t="s">
        <v>4876</v>
      </c>
      <c r="L1244" s="0" t="s">
        <v>32</v>
      </c>
      <c r="M1244" s="0" t="s">
        <v>61</v>
      </c>
      <c r="N1244" s="0" t="s">
        <v>32</v>
      </c>
      <c r="O1244" s="0" t="s">
        <v>35</v>
      </c>
      <c r="P1244" s="0" t="s">
        <v>39</v>
      </c>
      <c r="Q1244" s="0" t="s">
        <v>4877</v>
      </c>
      <c r="R1244" s="0" t="s">
        <v>4874</v>
      </c>
      <c r="S1244" s="0" t="s">
        <v>32</v>
      </c>
      <c r="T1244" s="0">
        <f>HYPERLINK("https://storage.sslt.ae/ItemVariation/08DCFA79-5604-40AA-8353-FA9E4E2D3C03/C08DC5F4-10CC-409D-94DB-FBC9933A3D59.png","Variant Image")</f>
      </c>
      <c r="U1244" s="0">
        <f>HYPERLINK("https://ec-qa-storage.kldlms.com/Item/08DCFA79-5604-40AA-8353-FA9E4E2D3C03/E27E87C6-28AC-42F5-9605-3BC5D7D0FA1F.jpg","Thumbnail Image")</f>
      </c>
      <c r="V1244" s="0">
        <f>HYPERLINK("https://ec-qa-storage.kldlms.com/ItemGallery/08DCFA79-5604-40AA-8353-FA9E4E2D3C03/BB30F500-9F7D-4F52-9EBC-B0EC0631760F.jpg","Gallery Image ")</f>
      </c>
      <c r="W1244" s="0" t="s">
        <v>22</v>
      </c>
    </row>
    <row r="1245">
      <c r="P1245" s="0" t="s">
        <v>527</v>
      </c>
      <c r="Q1245" s="0" t="s">
        <v>4876</v>
      </c>
      <c r="R1245" s="0" t="s">
        <v>4874</v>
      </c>
      <c r="S1245" s="0" t="s">
        <v>32</v>
      </c>
      <c r="T1245" s="0">
        <f>HYPERLINK("https://ec-qa-storage.kldlms.com/ItemVariation/08DCFA79-5604-40AA-8353-FA9E4E2D3C03/68B12140-A0AB-434A-BEE0-8430DF1E4FC9.jpg","Variant Image")</f>
      </c>
    </row>
    <row r="1246">
      <c r="A1246" s="0" t="s">
        <v>4878</v>
      </c>
      <c r="B1246" s="0" t="s">
        <v>4878</v>
      </c>
      <c r="C1246" s="0" t="s">
        <v>4879</v>
      </c>
      <c r="D1246" s="0" t="s">
        <v>27</v>
      </c>
      <c r="E1246" s="0" t="s">
        <v>3136</v>
      </c>
      <c r="F1246" s="0" t="s">
        <v>3137</v>
      </c>
      <c r="G1246" s="0" t="s">
        <v>4878</v>
      </c>
      <c r="H1246" s="0" t="s">
        <v>4878</v>
      </c>
      <c r="I1246" s="0" t="s">
        <v>4880</v>
      </c>
      <c r="J1246" s="0" t="s">
        <v>4880</v>
      </c>
      <c r="K1246" s="0" t="s">
        <v>1113</v>
      </c>
      <c r="L1246" s="0" t="s">
        <v>32</v>
      </c>
      <c r="M1246" s="0" t="s">
        <v>61</v>
      </c>
      <c r="N1246" s="0" t="s">
        <v>32</v>
      </c>
      <c r="O1246" s="0" t="s">
        <v>35</v>
      </c>
      <c r="P1246" s="0" t="s">
        <v>39</v>
      </c>
      <c r="Q1246" s="0" t="s">
        <v>4881</v>
      </c>
      <c r="R1246" s="0" t="s">
        <v>4879</v>
      </c>
      <c r="S1246" s="0" t="s">
        <v>32</v>
      </c>
      <c r="T1246" s="0">
        <f>HYPERLINK("https://storage.sslt.ae/ItemVariation/08DCFA79-599A-450E-8ADF-9972552D3854/8C5F0743-A396-4550-A011-A2FADFC778C9.png","Variant Image")</f>
      </c>
      <c r="U1246" s="0">
        <f>HYPERLINK("https://ec-qa-storage.kldlms.com/Item/08DCFA79-599A-450E-8ADF-9972552D3854/66C68F6A-40A5-481D-8EB1-842C654D957A.jpg","Thumbnail Image")</f>
      </c>
      <c r="V1246" s="0">
        <f>HYPERLINK("https://ec-qa-storage.kldlms.com/ItemGallery/08DCFA79-599A-450E-8ADF-9972552D3854/508C6292-233C-459A-B59D-30BBA9343D50.jpg","Gallery Image ")</f>
      </c>
      <c r="W1246" s="0" t="s">
        <v>22</v>
      </c>
    </row>
    <row r="1247">
      <c r="P1247" s="0" t="s">
        <v>593</v>
      </c>
      <c r="Q1247" s="0" t="s">
        <v>1113</v>
      </c>
      <c r="R1247" s="0" t="s">
        <v>4879</v>
      </c>
      <c r="S1247" s="0" t="s">
        <v>32</v>
      </c>
      <c r="T1247" s="0">
        <f>HYPERLINK("https://ec-qa-storage.kldlms.com/ItemVariation/08DCFA79-599A-450E-8ADF-9972552D3854/07AC0BED-5E86-4A20-BBD1-B574695F6D42.jpg","Variant Image")</f>
      </c>
    </row>
    <row r="1248">
      <c r="P1248" s="0" t="s">
        <v>527</v>
      </c>
      <c r="Q1248" s="0" t="s">
        <v>1113</v>
      </c>
      <c r="R1248" s="0" t="s">
        <v>4882</v>
      </c>
      <c r="S1248" s="0" t="s">
        <v>32</v>
      </c>
      <c r="T1248" s="0">
        <f>HYPERLINK("https://ec-qa-storage.kldlms.com/ItemVariation/08DCFA79-599A-450E-8ADF-9972552D3854/9B505694-CAA4-400D-A95C-3023F4A73224.jpeg","Variant Image")</f>
      </c>
    </row>
    <row r="1249">
      <c r="A1249" s="0" t="s">
        <v>4883</v>
      </c>
      <c r="B1249" s="0" t="s">
        <v>4883</v>
      </c>
      <c r="C1249" s="0" t="s">
        <v>4884</v>
      </c>
      <c r="D1249" s="0" t="s">
        <v>1009</v>
      </c>
      <c r="E1249" s="0" t="s">
        <v>749</v>
      </c>
      <c r="F1249" s="0" t="s">
        <v>750</v>
      </c>
      <c r="G1249" s="0" t="s">
        <v>4883</v>
      </c>
      <c r="H1249" s="0" t="s">
        <v>4883</v>
      </c>
      <c r="I1249" s="0" t="s">
        <v>4885</v>
      </c>
      <c r="J1249" s="0" t="s">
        <v>4885</v>
      </c>
      <c r="K1249" s="0" t="s">
        <v>35</v>
      </c>
      <c r="L1249" s="0" t="s">
        <v>32</v>
      </c>
      <c r="M1249" s="0" t="s">
        <v>61</v>
      </c>
      <c r="N1249" s="0" t="s">
        <v>35</v>
      </c>
      <c r="O1249" s="0" t="s">
        <v>349</v>
      </c>
      <c r="P1249" s="0" t="s">
        <v>4886</v>
      </c>
      <c r="Q1249" s="0" t="s">
        <v>35</v>
      </c>
      <c r="R1249" s="0" t="s">
        <v>4884</v>
      </c>
      <c r="S1249" s="0" t="s">
        <v>35</v>
      </c>
      <c r="T1249" s="0">
        <f>HYPERLINK("https://ec-qa-storage.kldlms.com/ItemVariation/08DD0ADA-FE39-4D9E-8D06-B2C1AA482F8B/DB59AE87-8D6C-4E4A-B6F5-4F752BC85A89.jpeg","Variant Image")</f>
      </c>
      <c r="U1249" s="0">
        <f>HYPERLINK("https://ec-qa-storage.kldlms.com/Item/08DD0ADA-FE39-4D9E-8D06-B2C1AA482F8B/EDD4061D-EEDF-4311-A718-7650AC1749FA.png","Thumbnail Image")</f>
      </c>
      <c r="V1249" s="0">
        <f>HYPERLINK("https://ec-qa-storage.kldlms.com/ItemGallery/08DD0ADA-FE39-4D9E-8D06-B2C1AA482F8B/7FE9B864-7517-4931-9BF2-0CD0875AAFB5.png","Gallery Image ")</f>
      </c>
      <c r="W1249" s="0" t="s">
        <v>22</v>
      </c>
      <c r="X1249" s="0" t="s">
        <v>92</v>
      </c>
    </row>
    <row r="1250">
      <c r="P1250" s="0" t="s">
        <v>593</v>
      </c>
      <c r="Q1250" s="0" t="s">
        <v>35</v>
      </c>
      <c r="R1250" s="0" t="s">
        <v>4884</v>
      </c>
      <c r="S1250" s="0" t="s">
        <v>35</v>
      </c>
      <c r="T1250" s="0">
        <f>HYPERLINK("https://ec-qa-storage.kldlms.com/ItemVariation/08DD0ADA-FE39-4D9E-8D06-B2C1AA482F8B/713DB5B7-E2C7-480D-B5EC-C4C177E8A925.jpeg","Variant Image")</f>
      </c>
      <c r="X1250" s="0" t="s">
        <v>92</v>
      </c>
    </row>
    <row r="1251">
      <c r="A1251" s="0" t="s">
        <v>3607</v>
      </c>
      <c r="B1251" s="0" t="s">
        <v>3607</v>
      </c>
      <c r="C1251" s="0" t="s">
        <v>3608</v>
      </c>
      <c r="D1251" s="0" t="s">
        <v>27</v>
      </c>
      <c r="E1251" s="0" t="s">
        <v>3609</v>
      </c>
      <c r="F1251" s="0" t="s">
        <v>3137</v>
      </c>
      <c r="G1251" s="0" t="s">
        <v>3607</v>
      </c>
      <c r="H1251" s="0" t="s">
        <v>3607</v>
      </c>
      <c r="I1251" s="0" t="s">
        <v>3610</v>
      </c>
      <c r="J1251" s="0" t="s">
        <v>3610</v>
      </c>
      <c r="K1251" s="0" t="s">
        <v>3611</v>
      </c>
      <c r="L1251" s="0" t="s">
        <v>32</v>
      </c>
      <c r="M1251" s="0" t="s">
        <v>61</v>
      </c>
      <c r="N1251" s="0" t="s">
        <v>32</v>
      </c>
      <c r="O1251" s="0" t="s">
        <v>35</v>
      </c>
      <c r="P1251" s="0" t="s">
        <v>527</v>
      </c>
      <c r="Q1251" s="0" t="s">
        <v>3611</v>
      </c>
      <c r="R1251" s="0" t="s">
        <v>3608</v>
      </c>
      <c r="S1251" s="0" t="s">
        <v>32</v>
      </c>
      <c r="T1251" s="0">
        <f>HYPERLINK("https://ec-qa-storage.kldlms.com/ItemVariation/08DD1460-ABE4-4ACB-81C7-3EF2B86A3301/62A0FAF4-21F9-45E8-AB11-AD7E5C4E1625.jpg","Variant Image")</f>
      </c>
      <c r="U1251" s="0">
        <f>HYPERLINK("https://ec-qa-storage.kldlms.com/Item/08DD1460-ABE4-4ACB-81C7-3EF2B86A3301/970E7647-8210-4174-A27C-8446D3D1D600.jpg","Thumbnail Image")</f>
      </c>
      <c r="V1251" s="0">
        <f>HYPERLINK("https://ec-qa-storage.kldlms.com/ItemGallery/08DD1460-ABE4-4ACB-81C7-3EF2B86A3301/1724486D-4029-4B81-8242-EDBD02650D8A.jpg","Gallery Image ")</f>
      </c>
      <c r="W1251" s="0" t="s">
        <v>22</v>
      </c>
    </row>
    <row r="1252">
      <c r="P1252" s="0" t="s">
        <v>121</v>
      </c>
      <c r="Q1252" s="0" t="s">
        <v>3611</v>
      </c>
      <c r="R1252" s="0" t="s">
        <v>3613</v>
      </c>
      <c r="S1252" s="0" t="s">
        <v>32</v>
      </c>
      <c r="T1252" s="0">
        <f>HYPERLINK("https://ec-qa-storage.kldlms.com/ItemVariation/08DD1460-ABE4-4ACB-81C7-3EF2B86A3301/7957E62F-2C27-4C70-84CB-9E8715A3F25F.png","Variant Image")</f>
      </c>
    </row>
    <row r="1253">
      <c r="P1253" s="0" t="s">
        <v>1195</v>
      </c>
      <c r="Q1253" s="0" t="s">
        <v>3611</v>
      </c>
      <c r="R1253" s="0" t="s">
        <v>3614</v>
      </c>
      <c r="S1253" s="0" t="s">
        <v>32</v>
      </c>
      <c r="T1253" s="0">
        <f>HYPERLINK("https://ec-qa-storage.kldlms.com/ItemVariation/08DD1460-ABE4-4ACB-81C7-3EF2B86A3301/7044C11B-E064-4CE9-9D9C-24538D013411.jpg","Variant Image")</f>
      </c>
    </row>
    <row r="1254">
      <c r="P1254" s="0" t="s">
        <v>3615</v>
      </c>
      <c r="Q1254" s="0" t="s">
        <v>3611</v>
      </c>
      <c r="R1254" s="0" t="s">
        <v>3616</v>
      </c>
      <c r="S1254" s="0" t="s">
        <v>32</v>
      </c>
      <c r="T1254" s="0">
        <f>HYPERLINK("https://ec-qa-storage.kldlms.com/ItemVariation/08DD1460-ABE4-4ACB-81C7-3EF2B86A3301/ED826720-8AC7-4F96-A796-F6D5E2C4C853.jpg","Variant Image")</f>
      </c>
    </row>
    <row r="1255">
      <c r="A1255" s="0" t="s">
        <v>3625</v>
      </c>
      <c r="B1255" s="0" t="s">
        <v>3625</v>
      </c>
      <c r="C1255" s="0" t="s">
        <v>3626</v>
      </c>
      <c r="D1255" s="0" t="s">
        <v>27</v>
      </c>
      <c r="E1255" s="0" t="s">
        <v>3609</v>
      </c>
      <c r="F1255" s="0" t="s">
        <v>3137</v>
      </c>
      <c r="G1255" s="0" t="s">
        <v>3625</v>
      </c>
      <c r="H1255" s="0" t="s">
        <v>3625</v>
      </c>
      <c r="I1255" s="0" t="s">
        <v>3627</v>
      </c>
      <c r="J1255" s="0" t="s">
        <v>3627</v>
      </c>
      <c r="K1255" s="0" t="s">
        <v>3628</v>
      </c>
      <c r="L1255" s="0" t="s">
        <v>32</v>
      </c>
      <c r="M1255" s="0" t="s">
        <v>61</v>
      </c>
      <c r="N1255" s="0" t="s">
        <v>32</v>
      </c>
      <c r="O1255" s="0" t="s">
        <v>35</v>
      </c>
      <c r="P1255" s="0" t="s">
        <v>39</v>
      </c>
      <c r="Q1255" s="0" t="s">
        <v>3628</v>
      </c>
      <c r="R1255" s="0" t="s">
        <v>3626</v>
      </c>
      <c r="S1255" s="0" t="s">
        <v>32</v>
      </c>
      <c r="T1255" s="0">
        <f>HYPERLINK("https://ec-qa-storage.kldlms.com/ItemVariation/08DD1460-AC9A-4461-8623-8ADB68C5DE6A/6A76402D-4CF1-448D-A553-4126C502816B.png","Variant Image")</f>
      </c>
      <c r="U1255" s="0">
        <f>HYPERLINK("https://ec-qa-storage.kldlms.com/Item/08DD1460-AC9A-4461-8623-8ADB68C5DE6A/64E82308-A8EF-4BE8-BD71-54C61B0FD4FD.png","Thumbnail Image")</f>
      </c>
      <c r="V1255" s="0">
        <f>HYPERLINK("https://ec-qa-storage.kldlms.com/ItemGallery/08DD1460-AC9A-4461-8623-8ADB68C5DE6A/66463604-723D-4694-BC12-4F4554F8B6C7.jpg","Gallery Image ")</f>
      </c>
      <c r="W1255" s="0" t="s">
        <v>22</v>
      </c>
    </row>
    <row r="1256">
      <c r="P1256" s="0" t="s">
        <v>327</v>
      </c>
      <c r="Q1256" s="0" t="s">
        <v>3628</v>
      </c>
      <c r="R1256" s="0" t="s">
        <v>3629</v>
      </c>
      <c r="S1256" s="0" t="s">
        <v>32</v>
      </c>
      <c r="T1256" s="0">
        <f>HYPERLINK("https://ec-qa-storage.kldlms.com/ItemVariation/08DD1460-AC9A-4461-8623-8ADB68C5DE6A/E6D0883A-32BD-4C4E-B41F-4739AC9E69CB.jpg","Variant Image")</f>
      </c>
    </row>
    <row r="1257">
      <c r="A1257" s="0" t="s">
        <v>3634</v>
      </c>
      <c r="B1257" s="0" t="s">
        <v>3634</v>
      </c>
      <c r="C1257" s="0" t="s">
        <v>3635</v>
      </c>
      <c r="D1257" s="0" t="s">
        <v>27</v>
      </c>
      <c r="E1257" s="0" t="s">
        <v>3609</v>
      </c>
      <c r="F1257" s="0" t="s">
        <v>3137</v>
      </c>
      <c r="G1257" s="0" t="s">
        <v>3634</v>
      </c>
      <c r="H1257" s="0" t="s">
        <v>3634</v>
      </c>
      <c r="I1257" s="0" t="s">
        <v>3636</v>
      </c>
      <c r="J1257" s="0" t="s">
        <v>3636</v>
      </c>
      <c r="K1257" s="0" t="s">
        <v>3637</v>
      </c>
      <c r="L1257" s="0" t="s">
        <v>32</v>
      </c>
      <c r="M1257" s="0" t="s">
        <v>61</v>
      </c>
      <c r="N1257" s="0" t="s">
        <v>32</v>
      </c>
      <c r="O1257" s="0" t="s">
        <v>35</v>
      </c>
      <c r="P1257" s="0" t="s">
        <v>3639</v>
      </c>
      <c r="Q1257" s="0" t="s">
        <v>3637</v>
      </c>
      <c r="R1257" s="0" t="s">
        <v>3635</v>
      </c>
      <c r="S1257" s="0" t="s">
        <v>32</v>
      </c>
      <c r="T1257" s="0">
        <f>HYPERLINK("https://ec-qa-storage.kldlms.com/ItemVariation/08DD1460-ADA7-4BD3-80BA-EA69244A3000/35DA10F8-8F47-44AA-8BC9-A46ECF18DC42.jpg","Variant Image")</f>
      </c>
      <c r="U1257" s="0">
        <f>HYPERLINK("https://ec-qa-storage.kldlms.com/Item/08DD1460-ADA7-4BD3-80BA-EA69244A3000/790B8FCF-2D84-4FA4-8578-F734EADD9F8D.jpg","Thumbnail Image")</f>
      </c>
      <c r="V1257" s="0">
        <f>HYPERLINK("https://ec-qa-storage.kldlms.com/ItemGallery/08DD1460-ADA7-4BD3-80BA-EA69244A3000/DF8BCD45-3FC9-45EB-B5A5-AA28E3892B83.jpg","Gallery Image ")</f>
      </c>
      <c r="W1257" s="0" t="s">
        <v>22</v>
      </c>
    </row>
    <row r="1258">
      <c r="P1258" s="0" t="s">
        <v>527</v>
      </c>
      <c r="Q1258" s="0" t="s">
        <v>3637</v>
      </c>
      <c r="R1258" s="0" t="s">
        <v>3640</v>
      </c>
      <c r="S1258" s="0" t="s">
        <v>32</v>
      </c>
      <c r="T1258" s="0">
        <f>HYPERLINK("https://ec-qa-storage.kldlms.com/ItemVariation/08DD1460-ADA7-4BD3-80BA-EA69244A3000/2C5D1D4A-C077-4726-A17E-12F2C411423D.jpg","Variant Image")</f>
      </c>
    </row>
    <row r="1259">
      <c r="A1259" s="0" t="s">
        <v>3645</v>
      </c>
      <c r="B1259" s="0" t="s">
        <v>3645</v>
      </c>
      <c r="C1259" s="0" t="s">
        <v>1000</v>
      </c>
      <c r="D1259" s="0" t="s">
        <v>27</v>
      </c>
      <c r="E1259" s="0" t="s">
        <v>3609</v>
      </c>
      <c r="F1259" s="0" t="s">
        <v>3137</v>
      </c>
      <c r="G1259" s="0" t="s">
        <v>3645</v>
      </c>
      <c r="H1259" s="0" t="s">
        <v>3645</v>
      </c>
      <c r="I1259" s="0" t="s">
        <v>3646</v>
      </c>
      <c r="J1259" s="0" t="s">
        <v>3646</v>
      </c>
      <c r="K1259" s="0" t="s">
        <v>551</v>
      </c>
      <c r="L1259" s="0" t="s">
        <v>32</v>
      </c>
      <c r="M1259" s="0" t="s">
        <v>61</v>
      </c>
      <c r="N1259" s="0" t="s">
        <v>32</v>
      </c>
      <c r="O1259" s="0" t="s">
        <v>35</v>
      </c>
      <c r="P1259" s="0" t="s">
        <v>39</v>
      </c>
      <c r="Q1259" s="0" t="s">
        <v>551</v>
      </c>
      <c r="R1259" s="0" t="s">
        <v>1000</v>
      </c>
      <c r="S1259" s="0" t="s">
        <v>32</v>
      </c>
      <c r="T1259" s="0">
        <f>HYPERLINK("https://ec-qa-storage.kldlms.com/ItemVariation/08DD1460-ADE9-455B-89A2-FB7CD658E9EF/678D0034-4743-44E9-8F63-4BD09DD2BF7F.jpg","Variant Image")</f>
      </c>
      <c r="U1259" s="0">
        <f>HYPERLINK("https://ec-qa-storage.kldlms.com/Item/08DD1460-ADE9-455B-89A2-FB7CD658E9EF/B33771C5-F593-4505-ABA7-4C25B9CD6593.jpg","Thumbnail Image")</f>
      </c>
      <c r="V1259" s="0">
        <f>HYPERLINK("https://ec-qa-storage.kldlms.com/ItemGallery/08DD1460-ADE9-455B-89A2-FB7CD658E9EF/467EEEE2-ECA4-4C5D-B49C-0ED9FFEED8EC.jpg","Gallery Image ")</f>
      </c>
      <c r="W1259" s="0" t="s">
        <v>22</v>
      </c>
    </row>
    <row r="1260">
      <c r="P1260" s="0" t="s">
        <v>593</v>
      </c>
      <c r="Q1260" s="0" t="s">
        <v>551</v>
      </c>
      <c r="R1260" s="0" t="s">
        <v>3647</v>
      </c>
      <c r="S1260" s="0" t="s">
        <v>32</v>
      </c>
      <c r="T1260" s="0">
        <f>HYPERLINK("https://ec-qa-storage.kldlms.com/ItemVariation/08DD1460-ADE9-455B-89A2-FB7CD658E9EF/A7A15675-EE46-48C5-A427-B5C4A217982A.jpg","Variant Image")</f>
      </c>
    </row>
    <row r="1261">
      <c r="P1261" s="0" t="s">
        <v>3401</v>
      </c>
      <c r="Q1261" s="0" t="s">
        <v>551</v>
      </c>
      <c r="R1261" s="0" t="s">
        <v>3648</v>
      </c>
      <c r="S1261" s="0" t="s">
        <v>32</v>
      </c>
      <c r="T1261" s="0">
        <f>HYPERLINK("https://ec-qa-storage.kldlms.com/ItemVariation/08DD1460-ADE9-455B-89A2-FB7CD658E9EF/A24F6168-4A77-4BC4-B469-431C6D57DF81.jpg","Variant Image")</f>
      </c>
    </row>
    <row r="1262">
      <c r="A1262" s="0" t="s">
        <v>4656</v>
      </c>
      <c r="B1262" s="0" t="s">
        <v>4656</v>
      </c>
      <c r="C1262" s="0" t="s">
        <v>4657</v>
      </c>
      <c r="D1262" s="0" t="s">
        <v>27</v>
      </c>
      <c r="E1262" s="0" t="s">
        <v>4450</v>
      </c>
      <c r="F1262" s="0" t="s">
        <v>3137</v>
      </c>
      <c r="G1262" s="0" t="s">
        <v>4656</v>
      </c>
      <c r="H1262" s="0" t="s">
        <v>4656</v>
      </c>
      <c r="I1262" s="0" t="s">
        <v>4658</v>
      </c>
      <c r="J1262" s="0" t="s">
        <v>4658</v>
      </c>
      <c r="K1262" s="0" t="s">
        <v>1385</v>
      </c>
      <c r="L1262" s="0" t="s">
        <v>32</v>
      </c>
      <c r="M1262" s="0" t="s">
        <v>61</v>
      </c>
      <c r="N1262" s="0" t="s">
        <v>32</v>
      </c>
      <c r="O1262" s="0" t="s">
        <v>35</v>
      </c>
      <c r="P1262" s="0" t="s">
        <v>39</v>
      </c>
      <c r="Q1262" s="0" t="s">
        <v>1385</v>
      </c>
      <c r="R1262" s="0" t="s">
        <v>4657</v>
      </c>
      <c r="S1262" s="0" t="s">
        <v>32</v>
      </c>
      <c r="T1262" s="0">
        <f>HYPERLINK("https://ec-qa-storage.kldlms.com/ItemVariation/08DD1460-B1B7-4FAF-8B07-391B76A548AF/C3924598-14BF-46EB-AF47-F731C0B59369.jpg","Variant Image")</f>
      </c>
      <c r="U1262" s="0">
        <f>HYPERLINK("https://ec-qa-storage.kldlms.com/Item/08DD1460-B1B7-4FAF-8B07-391B76A548AF/57B5B09A-280D-47B8-AF4D-525600B48E2C.jpg","Thumbnail Image")</f>
      </c>
      <c r="V1262" s="0">
        <f>HYPERLINK("https://ec-qa-storage.kldlms.com/ItemGallery/08DD1460-B1B7-4FAF-8B07-391B76A548AF/EE2E5926-10D5-4456-BAFD-4884A710F55B.jpg","Gallery Image ")</f>
      </c>
      <c r="W1262" s="0" t="s">
        <v>22</v>
      </c>
    </row>
    <row r="1263">
      <c r="A1263" s="0" t="s">
        <v>3661</v>
      </c>
      <c r="B1263" s="0" t="s">
        <v>3661</v>
      </c>
      <c r="C1263" s="0" t="s">
        <v>3662</v>
      </c>
      <c r="D1263" s="0" t="s">
        <v>27</v>
      </c>
      <c r="E1263" s="0" t="s">
        <v>3160</v>
      </c>
      <c r="F1263" s="0" t="s">
        <v>3137</v>
      </c>
      <c r="G1263" s="0" t="s">
        <v>3661</v>
      </c>
      <c r="H1263" s="0" t="s">
        <v>3661</v>
      </c>
      <c r="I1263" s="0" t="s">
        <v>3663</v>
      </c>
      <c r="J1263" s="0" t="s">
        <v>3663</v>
      </c>
      <c r="K1263" s="0" t="s">
        <v>596</v>
      </c>
      <c r="L1263" s="0" t="s">
        <v>32</v>
      </c>
      <c r="M1263" s="0" t="s">
        <v>61</v>
      </c>
      <c r="N1263" s="0" t="s">
        <v>32</v>
      </c>
      <c r="O1263" s="0" t="s">
        <v>35</v>
      </c>
      <c r="P1263" s="0" t="s">
        <v>39</v>
      </c>
      <c r="Q1263" s="0" t="s">
        <v>596</v>
      </c>
      <c r="R1263" s="0" t="s">
        <v>3662</v>
      </c>
      <c r="S1263" s="0" t="s">
        <v>32</v>
      </c>
      <c r="T1263" s="0">
        <f>HYPERLINK("https://ec-qa-storage.kldlms.com/ItemVariation/08DD1460-B1D5-43D6-815A-541736254DB5/C522D10E-F69B-4833-94BD-5FBE4E520F80.jpg","Variant Image")</f>
      </c>
      <c r="U1263" s="0">
        <f>HYPERLINK("https://ec-qa-storage.kldlms.com/Item/08DD1460-B1D5-43D6-815A-541736254DB5/647DB3CE-9BD3-4180-ADF9-14241E20CB45.jpg","Thumbnail Image")</f>
      </c>
      <c r="V1263" s="0">
        <f>HYPERLINK("https://ec-qa-storage.kldlms.com/ItemGallery/08DD1460-B1D5-43D6-815A-541736254DB5/FE22F1A2-A426-40C9-A04E-41BB597307D6.jpg","Gallery Image ")</f>
      </c>
      <c r="W1263" s="0" t="s">
        <v>22</v>
      </c>
    </row>
    <row r="1264">
      <c r="A1264" s="0" t="s">
        <v>4659</v>
      </c>
      <c r="B1264" s="0" t="s">
        <v>4659</v>
      </c>
      <c r="C1264" s="0" t="s">
        <v>4660</v>
      </c>
      <c r="D1264" s="0" t="s">
        <v>27</v>
      </c>
      <c r="E1264" s="0" t="s">
        <v>4661</v>
      </c>
      <c r="F1264" s="0" t="s">
        <v>3137</v>
      </c>
      <c r="G1264" s="0" t="s">
        <v>4659</v>
      </c>
      <c r="H1264" s="0" t="s">
        <v>4659</v>
      </c>
      <c r="I1264" s="0" t="s">
        <v>4662</v>
      </c>
      <c r="J1264" s="0" t="s">
        <v>4662</v>
      </c>
      <c r="K1264" s="0" t="s">
        <v>4663</v>
      </c>
      <c r="L1264" s="0" t="s">
        <v>32</v>
      </c>
      <c r="M1264" s="0" t="s">
        <v>61</v>
      </c>
      <c r="N1264" s="0" t="s">
        <v>32</v>
      </c>
      <c r="O1264" s="0" t="s">
        <v>35</v>
      </c>
      <c r="P1264" s="0" t="s">
        <v>39</v>
      </c>
      <c r="Q1264" s="0" t="s">
        <v>4663</v>
      </c>
      <c r="R1264" s="0" t="s">
        <v>4660</v>
      </c>
      <c r="S1264" s="0" t="s">
        <v>32</v>
      </c>
      <c r="T1264" s="0">
        <f>HYPERLINK("https://ec-qa-storage.kldlms.com/ItemVariation/08DD1460-B32B-46AC-8430-319FFFE4CF39/EE92CED0-AA19-47DB-9E3F-285B788885A2.jpg","Variant Image")</f>
      </c>
      <c r="U1264" s="0">
        <f>HYPERLINK("https://ec-qa-storage.kldlms.com/Item/08DD1460-B32B-46AC-8430-319FFFE4CF39/335C6A57-5081-411A-A67E-507450C61D43.jpg","Thumbnail Image")</f>
      </c>
      <c r="V1264" s="0">
        <f>HYPERLINK("https://ec-qa-storage.kldlms.com/ItemGallery/08DD1460-B32B-46AC-8430-319FFFE4CF39/1C4513DE-6E53-442F-A744-260511E1AC21.jpg","Gallery Image ")</f>
      </c>
      <c r="W1264" s="0" t="s">
        <v>22</v>
      </c>
    </row>
    <row r="1265">
      <c r="A1265" s="0" t="s">
        <v>4659</v>
      </c>
      <c r="B1265" s="0" t="s">
        <v>4659</v>
      </c>
      <c r="C1265" s="0" t="s">
        <v>4664</v>
      </c>
      <c r="D1265" s="0" t="s">
        <v>27</v>
      </c>
      <c r="E1265" s="0" t="s">
        <v>4661</v>
      </c>
      <c r="F1265" s="0" t="s">
        <v>3137</v>
      </c>
      <c r="G1265" s="0" t="s">
        <v>4659</v>
      </c>
      <c r="H1265" s="0" t="s">
        <v>4659</v>
      </c>
      <c r="I1265" s="0" t="s">
        <v>4662</v>
      </c>
      <c r="J1265" s="0" t="s">
        <v>4662</v>
      </c>
      <c r="K1265" s="0" t="s">
        <v>4665</v>
      </c>
      <c r="L1265" s="0" t="s">
        <v>32</v>
      </c>
      <c r="M1265" s="0" t="s">
        <v>61</v>
      </c>
      <c r="N1265" s="0" t="s">
        <v>32</v>
      </c>
      <c r="O1265" s="0" t="s">
        <v>35</v>
      </c>
      <c r="P1265" s="0" t="s">
        <v>39</v>
      </c>
      <c r="Q1265" s="0" t="s">
        <v>4665</v>
      </c>
      <c r="R1265" s="0" t="s">
        <v>4664</v>
      </c>
      <c r="S1265" s="0" t="s">
        <v>32</v>
      </c>
      <c r="T1265" s="0">
        <f>HYPERLINK("https://ec-qa-storage.kldlms.com/ItemVariation/08DD1460-B46D-4504-8F59-472976CAB19B/A3683609-EFEC-44EA-B52B-02E26A70998B.jpg","Variant Image")</f>
      </c>
      <c r="U1265" s="0">
        <f>HYPERLINK("https://ec-qa-storage.kldlms.com/Item/08DD1460-B46D-4504-8F59-472976CAB19B/D47BCB06-D95D-461C-9368-1C88A28DA78A.jpg","Thumbnail Image")</f>
      </c>
      <c r="V1265" s="0">
        <f>HYPERLINK("https://ec-qa-storage.kldlms.com/ItemGallery/08DD1460-B46D-4504-8F59-472976CAB19B/FE7BCE9A-482A-44BD-8E56-1A07AD68FC8D.jpg","Gallery Image ")</f>
      </c>
      <c r="W1265" s="0" t="s">
        <v>22</v>
      </c>
    </row>
    <row r="1266">
      <c r="A1266" s="0" t="s">
        <v>4666</v>
      </c>
      <c r="B1266" s="0" t="s">
        <v>4666</v>
      </c>
      <c r="C1266" s="0" t="s">
        <v>4667</v>
      </c>
      <c r="D1266" s="0" t="s">
        <v>27</v>
      </c>
      <c r="E1266" s="0" t="s">
        <v>4450</v>
      </c>
      <c r="F1266" s="0" t="s">
        <v>3137</v>
      </c>
      <c r="G1266" s="0" t="s">
        <v>4666</v>
      </c>
      <c r="H1266" s="0" t="s">
        <v>4666</v>
      </c>
      <c r="I1266" s="0" t="s">
        <v>4668</v>
      </c>
      <c r="J1266" s="0" t="s">
        <v>4668</v>
      </c>
      <c r="K1266" s="0" t="s">
        <v>4669</v>
      </c>
      <c r="L1266" s="0" t="s">
        <v>32</v>
      </c>
      <c r="M1266" s="0" t="s">
        <v>61</v>
      </c>
      <c r="N1266" s="0" t="s">
        <v>32</v>
      </c>
      <c r="O1266" s="0" t="s">
        <v>35</v>
      </c>
      <c r="P1266" s="0" t="s">
        <v>39</v>
      </c>
      <c r="Q1266" s="0" t="s">
        <v>4669</v>
      </c>
      <c r="R1266" s="0" t="s">
        <v>4667</v>
      </c>
      <c r="S1266" s="0" t="s">
        <v>32</v>
      </c>
      <c r="T1266" s="0">
        <f>HYPERLINK("https://ec-qa-storage.kldlms.com/ItemVariation/08DD1460-B72D-4689-8DCA-034B1E864C75/44189F67-C1F2-416C-ADDE-36CE96BDC110.jpg","Variant Image")</f>
      </c>
      <c r="U1266" s="0">
        <f>HYPERLINK("https://ec-qa-storage.kldlms.com/Item/08DD1460-B72D-4689-8DCA-034B1E864C75/CB19BAEB-DFB0-461A-8F23-EF2D69419853.jpg","Thumbnail Image")</f>
      </c>
      <c r="V1266" s="0">
        <f>HYPERLINK("https://ec-qa-storage.kldlms.com/ItemGallery/08DD1460-B72D-4689-8DCA-034B1E864C75/C013D8E6-0194-454E-A7AD-4258F7BF20F0.jpg","Gallery Image ")</f>
      </c>
      <c r="W1266" s="0" t="s">
        <v>22</v>
      </c>
    </row>
    <row r="1267">
      <c r="A1267" s="0" t="s">
        <v>4675</v>
      </c>
      <c r="B1267" s="0" t="s">
        <v>4675</v>
      </c>
      <c r="C1267" s="0" t="s">
        <v>4676</v>
      </c>
      <c r="D1267" s="0" t="s">
        <v>27</v>
      </c>
      <c r="E1267" s="0" t="s">
        <v>4364</v>
      </c>
      <c r="F1267" s="0" t="s">
        <v>3137</v>
      </c>
      <c r="G1267" s="0" t="s">
        <v>4675</v>
      </c>
      <c r="H1267" s="0" t="s">
        <v>4675</v>
      </c>
      <c r="I1267" s="0" t="s">
        <v>4677</v>
      </c>
      <c r="J1267" s="0" t="s">
        <v>4677</v>
      </c>
      <c r="K1267" s="0" t="s">
        <v>31</v>
      </c>
      <c r="L1267" s="0" t="s">
        <v>32</v>
      </c>
      <c r="M1267" s="0" t="s">
        <v>61</v>
      </c>
      <c r="N1267" s="0" t="s">
        <v>32</v>
      </c>
      <c r="O1267" s="0" t="s">
        <v>35</v>
      </c>
      <c r="P1267" s="0" t="s">
        <v>39</v>
      </c>
      <c r="Q1267" s="0" t="s">
        <v>31</v>
      </c>
      <c r="R1267" s="0" t="s">
        <v>4676</v>
      </c>
      <c r="S1267" s="0" t="s">
        <v>32</v>
      </c>
      <c r="T1267" s="0">
        <f>HYPERLINK("https://ec-qa-storage.kldlms.com/ItemVariation/08DD1460-B94C-49C4-8EEB-33FCB859FCC4/3ED8230B-9101-4964-9270-00926FA96997.jpg","Variant Image")</f>
      </c>
      <c r="U1267" s="0">
        <f>HYPERLINK("https://ec-qa-storage.kldlms.com/Item/08DD1460-B94C-49C4-8EEB-33FCB859FCC4/D38A0B4C-8E62-4B2D-A2E8-69EC564360EF.jpg","Thumbnail Image")</f>
      </c>
      <c r="V1267" s="0">
        <f>HYPERLINK("https://ec-qa-storage.kldlms.com/ItemGallery/08DD1460-B94C-49C4-8EEB-33FCB859FCC4/057410B1-FE7B-4C99-BCF3-7D4D01E46D91.webp","Gallery Image ")</f>
      </c>
      <c r="W1267" s="0" t="s">
        <v>22</v>
      </c>
    </row>
    <row r="1268">
      <c r="A1268" s="0" t="s">
        <v>4732</v>
      </c>
      <c r="B1268" s="0" t="s">
        <v>4732</v>
      </c>
      <c r="C1268" s="0" t="s">
        <v>4736</v>
      </c>
      <c r="D1268" s="0" t="s">
        <v>27</v>
      </c>
      <c r="E1268" s="0" t="s">
        <v>3136</v>
      </c>
      <c r="F1268" s="0" t="s">
        <v>3137</v>
      </c>
      <c r="G1268" s="0" t="s">
        <v>4732</v>
      </c>
      <c r="H1268" s="0" t="s">
        <v>4732</v>
      </c>
      <c r="I1268" s="0" t="s">
        <v>4737</v>
      </c>
      <c r="J1268" s="0" t="s">
        <v>4737</v>
      </c>
      <c r="K1268" s="0" t="s">
        <v>4738</v>
      </c>
      <c r="L1268" s="0" t="s">
        <v>32</v>
      </c>
      <c r="M1268" s="0" t="s">
        <v>61</v>
      </c>
      <c r="N1268" s="0" t="s">
        <v>32</v>
      </c>
      <c r="O1268" s="0" t="s">
        <v>35</v>
      </c>
      <c r="P1268" s="0" t="s">
        <v>527</v>
      </c>
      <c r="Q1268" s="0" t="s">
        <v>4738</v>
      </c>
      <c r="R1268" s="0" t="s">
        <v>4736</v>
      </c>
      <c r="S1268" s="0" t="s">
        <v>32</v>
      </c>
      <c r="T1268" s="0">
        <f>HYPERLINK("https://ec-qa-storage.kldlms.com/ItemVariation/08DD1460-BB9C-4C35-8DBB-3A27F160DEC7/8404F4ED-CAED-4494-9C9F-BD4356FB743E.jpg","Variant Image")</f>
      </c>
      <c r="U1268" s="0">
        <f>HYPERLINK("https://ec-qa-storage.kldlms.com/Item/08DD1460-BB9C-4C35-8DBB-3A27F160DEC7/6E29C59C-88A6-487F-8198-A08ACE0C86C6.jpg","Thumbnail Image")</f>
      </c>
      <c r="V1268" s="0">
        <f>HYPERLINK("https://ec-qa-storage.kldlms.com/ItemGallery/08DD1460-BB9C-4C35-8DBB-3A27F160DEC7/95F9BE17-1DA4-4FC4-B6B4-823CDF801AC0.jpg","Gallery Image ")</f>
      </c>
      <c r="W1268" s="0" t="s">
        <v>22</v>
      </c>
    </row>
    <row r="1269">
      <c r="A1269" s="0" t="s">
        <v>3134</v>
      </c>
      <c r="B1269" s="0" t="s">
        <v>3134</v>
      </c>
      <c r="C1269" s="0" t="s">
        <v>3135</v>
      </c>
      <c r="D1269" s="0" t="s">
        <v>27</v>
      </c>
      <c r="E1269" s="0" t="s">
        <v>3136</v>
      </c>
      <c r="F1269" s="0" t="s">
        <v>3137</v>
      </c>
      <c r="G1269" s="0" t="s">
        <v>3134</v>
      </c>
      <c r="H1269" s="0" t="s">
        <v>3134</v>
      </c>
      <c r="I1269" s="0" t="s">
        <v>3138</v>
      </c>
      <c r="J1269" s="0" t="s">
        <v>3138</v>
      </c>
      <c r="K1269" s="0" t="s">
        <v>3139</v>
      </c>
      <c r="L1269" s="0" t="s">
        <v>32</v>
      </c>
      <c r="M1269" s="0" t="s">
        <v>61</v>
      </c>
      <c r="N1269" s="0" t="s">
        <v>32</v>
      </c>
      <c r="O1269" s="0" t="s">
        <v>35</v>
      </c>
      <c r="P1269" s="0" t="s">
        <v>527</v>
      </c>
      <c r="Q1269" s="0" t="s">
        <v>3139</v>
      </c>
      <c r="R1269" s="0" t="s">
        <v>3135</v>
      </c>
      <c r="S1269" s="0" t="s">
        <v>32</v>
      </c>
      <c r="T1269" s="0">
        <f>HYPERLINK("https://ec-qa-storage.kldlms.com/ItemVariation/08DD1460-BD6F-4B11-8C3F-41333E7D32AC/CB07F6E6-DAED-4CF7-B80C-AE66609736B2.jpg","Variant Image")</f>
      </c>
      <c r="U1269" s="0">
        <f>HYPERLINK("https://ec-qa-storage.kldlms.com/Item/08DD1460-BD6F-4B11-8C3F-41333E7D32AC/41785E69-62F8-4394-ADBA-5EA6F833943B.jpg","Thumbnail Image")</f>
      </c>
      <c r="V1269" s="0">
        <f>HYPERLINK("https://ec-qa-storage.kldlms.com/ItemGallery/08DD1460-BD6F-4B11-8C3F-41333E7D32AC/E8253C18-2A28-498E-A3CE-94A1FA09A0FB.jpg","Gallery Image ")</f>
      </c>
      <c r="W1269" s="0" t="s">
        <v>22</v>
      </c>
    </row>
    <row r="1270">
      <c r="A1270" s="0" t="s">
        <v>4732</v>
      </c>
      <c r="B1270" s="0" t="s">
        <v>4732</v>
      </c>
      <c r="C1270" s="0" t="s">
        <v>4740</v>
      </c>
      <c r="D1270" s="0" t="s">
        <v>27</v>
      </c>
      <c r="E1270" s="0" t="s">
        <v>3136</v>
      </c>
      <c r="F1270" s="0" t="s">
        <v>3137</v>
      </c>
      <c r="G1270" s="0" t="s">
        <v>4732</v>
      </c>
      <c r="H1270" s="0" t="s">
        <v>4732</v>
      </c>
      <c r="I1270" s="0" t="s">
        <v>4741</v>
      </c>
      <c r="J1270" s="0" t="s">
        <v>4741</v>
      </c>
      <c r="K1270" s="0" t="s">
        <v>4742</v>
      </c>
      <c r="L1270" s="0" t="s">
        <v>32</v>
      </c>
      <c r="M1270" s="0" t="s">
        <v>61</v>
      </c>
      <c r="N1270" s="0" t="s">
        <v>32</v>
      </c>
      <c r="O1270" s="0" t="s">
        <v>35</v>
      </c>
      <c r="P1270" s="0" t="s">
        <v>527</v>
      </c>
      <c r="Q1270" s="0" t="s">
        <v>4742</v>
      </c>
      <c r="R1270" s="0" t="s">
        <v>4740</v>
      </c>
      <c r="S1270" s="0" t="s">
        <v>32</v>
      </c>
      <c r="T1270" s="0">
        <f>HYPERLINK("https://ec-qa-storage.kldlms.com/ItemVariation/08DD1460-DD5C-486E-80BE-E850B62189CD/31795FF9-DA3B-4802-BCB0-B8F3E429BC12.jpg","Variant Image")</f>
      </c>
      <c r="U1270" s="0">
        <f>HYPERLINK("https://ec-qa-storage.kldlms.com/Item/08DD1460-DD5C-486E-80BE-E850B62189CD/2031B1CD-7DC2-431E-A978-A634E964B0F4.jpg","Thumbnail Image")</f>
      </c>
      <c r="V1270" s="0">
        <f>HYPERLINK("https://ec-qa-storage.kldlms.com/ItemGallery/08DD1460-DD5C-486E-80BE-E850B62189CD/D249DDF8-97C0-4A26-903F-F1FFB62EA048.jpg","Gallery Image ")</f>
      </c>
      <c r="W1270" s="0" t="s">
        <v>22</v>
      </c>
    </row>
    <row r="1271">
      <c r="A1271" s="0" t="s">
        <v>3153</v>
      </c>
      <c r="B1271" s="0" t="s">
        <v>3153</v>
      </c>
      <c r="C1271" s="0" t="s">
        <v>3159</v>
      </c>
      <c r="D1271" s="0" t="s">
        <v>27</v>
      </c>
      <c r="E1271" s="0" t="s">
        <v>3160</v>
      </c>
      <c r="F1271" s="0" t="s">
        <v>3137</v>
      </c>
      <c r="G1271" s="0" t="s">
        <v>3153</v>
      </c>
      <c r="H1271" s="0" t="s">
        <v>3153</v>
      </c>
      <c r="I1271" s="0" t="s">
        <v>3161</v>
      </c>
      <c r="J1271" s="0" t="s">
        <v>3161</v>
      </c>
      <c r="K1271" s="0" t="s">
        <v>3162</v>
      </c>
      <c r="L1271" s="0" t="s">
        <v>32</v>
      </c>
      <c r="M1271" s="0" t="s">
        <v>61</v>
      </c>
      <c r="N1271" s="0" t="s">
        <v>32</v>
      </c>
      <c r="O1271" s="0" t="s">
        <v>35</v>
      </c>
      <c r="P1271" s="0" t="s">
        <v>593</v>
      </c>
      <c r="Q1271" s="0" t="s">
        <v>3162</v>
      </c>
      <c r="R1271" s="0" t="s">
        <v>3159</v>
      </c>
      <c r="S1271" s="0" t="s">
        <v>32</v>
      </c>
      <c r="T1271" s="0">
        <f>HYPERLINK("https://ec-qa-storage.kldlms.com/ItemVariation/08DD1460-DE55-48AB-8729-AB647DAE8296/F33201E1-2035-4486-A93A-8AF88265BB62.jpg","Variant Image")</f>
      </c>
      <c r="U1271" s="0">
        <f>HYPERLINK("https://ec-qa-storage.kldlms.com/Item/08DD1460-DE55-48AB-8729-AB647DAE8296/755B39DA-B0C7-4C54-9EC9-E1A5C6DF90FF.jpg","Thumbnail Image")</f>
      </c>
      <c r="V1271" s="0">
        <f>HYPERLINK("https://ec-qa-storage.kldlms.com/ItemGallery/08DD1460-DE55-48AB-8729-AB647DAE8296/8036A0B7-7598-4410-A1B6-86C47DF6068C.jpg","Gallery Image ")</f>
      </c>
      <c r="W1271" s="0" t="s">
        <v>22</v>
      </c>
    </row>
    <row r="1272">
      <c r="A1272" s="0" t="s">
        <v>4751</v>
      </c>
      <c r="B1272" s="0" t="s">
        <v>4751</v>
      </c>
      <c r="C1272" s="0" t="s">
        <v>4752</v>
      </c>
      <c r="D1272" s="0" t="s">
        <v>27</v>
      </c>
      <c r="E1272" s="0" t="s">
        <v>3160</v>
      </c>
      <c r="F1272" s="0" t="s">
        <v>3137</v>
      </c>
      <c r="G1272" s="0" t="s">
        <v>4751</v>
      </c>
      <c r="H1272" s="0" t="s">
        <v>4751</v>
      </c>
      <c r="I1272" s="0" t="s">
        <v>4753</v>
      </c>
      <c r="J1272" s="0" t="s">
        <v>4753</v>
      </c>
      <c r="K1272" s="0" t="s">
        <v>4257</v>
      </c>
      <c r="L1272" s="0" t="s">
        <v>32</v>
      </c>
      <c r="M1272" s="0" t="s">
        <v>61</v>
      </c>
      <c r="N1272" s="0" t="s">
        <v>32</v>
      </c>
      <c r="O1272" s="0" t="s">
        <v>35</v>
      </c>
      <c r="P1272" s="0" t="s">
        <v>593</v>
      </c>
      <c r="Q1272" s="0" t="s">
        <v>4257</v>
      </c>
      <c r="R1272" s="0" t="s">
        <v>4752</v>
      </c>
      <c r="S1272" s="0" t="s">
        <v>32</v>
      </c>
      <c r="T1272" s="0">
        <f>HYPERLINK("https://ec-qa-storage.kldlms.com/ItemVariation/08DD1460-DF6E-4EC5-80EE-43FABA801E39/8D7FA05F-9FEB-4C0A-A6F4-FFFC2554083B.jpg","Variant Image")</f>
      </c>
      <c r="U1272" s="0">
        <f>HYPERLINK("https://ec-qa-storage.kldlms.com/Item/08DD1460-DF6E-4EC5-80EE-43FABA801E39/E178D17A-E491-4619-B580-1BEEF113111D.jpg","Thumbnail Image")</f>
      </c>
      <c r="V1272" s="0">
        <f>HYPERLINK("https://ec-qa-storage.kldlms.com/ItemGallery/08DD1460-DF6E-4EC5-80EE-43FABA801E39/039C5405-6E6E-4521-AD46-5C098465ABCC.jpg","Gallery Image ")</f>
      </c>
      <c r="W1272" s="0" t="s">
        <v>22</v>
      </c>
    </row>
    <row r="1273">
      <c r="A1273" s="0" t="s">
        <v>4754</v>
      </c>
      <c r="B1273" s="0" t="s">
        <v>4754</v>
      </c>
      <c r="C1273" s="0" t="s">
        <v>4755</v>
      </c>
      <c r="D1273" s="0" t="s">
        <v>27</v>
      </c>
      <c r="E1273" s="0" t="s">
        <v>3136</v>
      </c>
      <c r="F1273" s="0" t="s">
        <v>3137</v>
      </c>
      <c r="G1273" s="0" t="s">
        <v>4754</v>
      </c>
      <c r="H1273" s="0" t="s">
        <v>4754</v>
      </c>
      <c r="I1273" s="0" t="s">
        <v>4756</v>
      </c>
      <c r="J1273" s="0" t="s">
        <v>4756</v>
      </c>
      <c r="K1273" s="0" t="s">
        <v>4757</v>
      </c>
      <c r="L1273" s="0" t="s">
        <v>32</v>
      </c>
      <c r="M1273" s="0" t="s">
        <v>61</v>
      </c>
      <c r="N1273" s="0" t="s">
        <v>32</v>
      </c>
      <c r="O1273" s="0" t="s">
        <v>35</v>
      </c>
      <c r="P1273" s="0" t="s">
        <v>593</v>
      </c>
      <c r="Q1273" s="0" t="s">
        <v>4757</v>
      </c>
      <c r="R1273" s="0" t="s">
        <v>4755</v>
      </c>
      <c r="S1273" s="0" t="s">
        <v>32</v>
      </c>
      <c r="T1273" s="0">
        <f>HYPERLINK("https://ec-qa-storage.kldlms.com/ItemVariation/08DD1460-E08F-4206-83EA-D1EB1E944790/C8650E0B-C3DD-42EC-B72E-108C3D3BA127.png","Variant Image")</f>
      </c>
      <c r="U1273" s="0">
        <f>HYPERLINK("https://ec-qa-storage.kldlms.com/Item/08DD1460-E08F-4206-83EA-D1EB1E944790/B4E5C4AE-E639-47BF-89D4-A4E2C7B8B04E.png","Thumbnail Image")</f>
      </c>
      <c r="V1273" s="0">
        <f>HYPERLINK("https://ec-qa-storage.kldlms.com/ItemGallery/08DD1460-E08F-4206-83EA-D1EB1E944790/662E0F12-2CD7-496F-BED2-22AE530DDFC4.jpg","Gallery Image ")</f>
      </c>
      <c r="W1273" s="0" t="s">
        <v>22</v>
      </c>
    </row>
    <row r="1274">
      <c r="P1274" s="0" t="s">
        <v>1016</v>
      </c>
      <c r="Q1274" s="0" t="s">
        <v>4757</v>
      </c>
      <c r="R1274" s="0" t="s">
        <v>4759</v>
      </c>
      <c r="S1274" s="0" t="s">
        <v>32</v>
      </c>
      <c r="T1274" s="0">
        <f>HYPERLINK("https://ec-qa-storage.kldlms.com/ItemVariation/08DD1460-E08F-4206-83EA-D1EB1E944790/092E28C5-E351-4317-B520-B7788B3D04AB.jpg","Variant Image")</f>
      </c>
    </row>
    <row r="1275">
      <c r="P1275" s="0" t="s">
        <v>527</v>
      </c>
      <c r="Q1275" s="0" t="s">
        <v>4757</v>
      </c>
      <c r="R1275" s="0" t="s">
        <v>4760</v>
      </c>
      <c r="S1275" s="0" t="s">
        <v>32</v>
      </c>
      <c r="T1275" s="0">
        <f>HYPERLINK("https://ec-qa-storage.kldlms.com/ItemVariation/08DD1460-E08F-4206-83EA-D1EB1E944790/8A5D380A-2B26-43FA-9FA8-AFC8F11DC15B.jpg","Variant Image")</f>
      </c>
    </row>
    <row r="1276">
      <c r="A1276" s="0" t="s">
        <v>4754</v>
      </c>
      <c r="B1276" s="0" t="s">
        <v>4754</v>
      </c>
      <c r="C1276" s="0" t="s">
        <v>4786</v>
      </c>
      <c r="D1276" s="0" t="s">
        <v>27</v>
      </c>
      <c r="E1276" s="0" t="s">
        <v>3136</v>
      </c>
      <c r="F1276" s="0" t="s">
        <v>3137</v>
      </c>
      <c r="G1276" s="0" t="s">
        <v>4754</v>
      </c>
      <c r="H1276" s="0" t="s">
        <v>4754</v>
      </c>
      <c r="I1276" s="0" t="s">
        <v>4787</v>
      </c>
      <c r="J1276" s="0" t="s">
        <v>4787</v>
      </c>
      <c r="K1276" s="0" t="s">
        <v>1228</v>
      </c>
      <c r="L1276" s="0" t="s">
        <v>32</v>
      </c>
      <c r="M1276" s="0" t="s">
        <v>61</v>
      </c>
      <c r="N1276" s="0" t="s">
        <v>32</v>
      </c>
      <c r="O1276" s="0" t="s">
        <v>35</v>
      </c>
      <c r="P1276" s="0" t="s">
        <v>527</v>
      </c>
      <c r="Q1276" s="0" t="s">
        <v>1228</v>
      </c>
      <c r="R1276" s="0" t="s">
        <v>4786</v>
      </c>
      <c r="S1276" s="0" t="s">
        <v>32</v>
      </c>
      <c r="T1276" s="0">
        <f>HYPERLINK("https://ec-qa-storage.kldlms.com/ItemVariation/08DD1460-EB31-4CE6-8445-383531F6235A/F154F6E9-4173-43A8-B966-E425A62DE577.jpg","Variant Image")</f>
      </c>
      <c r="U1276" s="0">
        <f>HYPERLINK("https://ec-qa-storage.kldlms.com/Item/08DD1460-EB31-4CE6-8445-383531F6235A/FB0DD656-9E91-45AC-B2EC-A44D86484EF8.jpg","Thumbnail Image")</f>
      </c>
      <c r="V1276" s="0">
        <f>HYPERLINK("https://ec-qa-storage.kldlms.com/ItemGallery/08DD1460-EB31-4CE6-8445-383531F6235A/3733EB92-5A9B-41AC-AA02-F28B224EF585.jpg","Gallery Image ")</f>
      </c>
      <c r="W1276" s="0" t="s">
        <v>22</v>
      </c>
    </row>
    <row r="1277">
      <c r="P1277" s="0" t="s">
        <v>1016</v>
      </c>
      <c r="Q1277" s="0" t="s">
        <v>1228</v>
      </c>
      <c r="R1277" s="0" t="s">
        <v>4784</v>
      </c>
      <c r="S1277" s="0" t="s">
        <v>32</v>
      </c>
      <c r="T1277" s="0">
        <f>HYPERLINK("https://ec-qa-storage.kldlms.com/ItemVariation/08DD1460-EB31-4CE6-8445-383531F6235A/625A8A6E-08CC-4EC4-B90F-9E8C7D0F9534.jpg","Variant Image")</f>
      </c>
    </row>
    <row r="1278">
      <c r="P1278" s="0" t="s">
        <v>593</v>
      </c>
      <c r="Q1278" s="0" t="s">
        <v>1228</v>
      </c>
      <c r="R1278" s="0" t="s">
        <v>4780</v>
      </c>
      <c r="S1278" s="0" t="s">
        <v>32</v>
      </c>
      <c r="T1278" s="0">
        <f>HYPERLINK("https://ec-qa-storage.kldlms.com/ItemVariation/08DD1460-EB31-4CE6-8445-383531F6235A/DF67C157-035E-4944-8418-EBB20BFD53B3.jpg","Variant Image")</f>
      </c>
    </row>
    <row r="1279">
      <c r="A1279" s="0" t="s">
        <v>3164</v>
      </c>
      <c r="B1279" s="0" t="s">
        <v>3164</v>
      </c>
      <c r="C1279" s="0" t="s">
        <v>3173</v>
      </c>
      <c r="D1279" s="0" t="s">
        <v>27</v>
      </c>
      <c r="E1279" s="0" t="s">
        <v>3136</v>
      </c>
      <c r="F1279" s="0" t="s">
        <v>3137</v>
      </c>
      <c r="G1279" s="0" t="s">
        <v>3164</v>
      </c>
      <c r="H1279" s="0" t="s">
        <v>3164</v>
      </c>
      <c r="I1279" s="0" t="s">
        <v>3174</v>
      </c>
      <c r="J1279" s="0" t="s">
        <v>3174</v>
      </c>
      <c r="K1279" s="0" t="s">
        <v>3034</v>
      </c>
      <c r="L1279" s="0" t="s">
        <v>32</v>
      </c>
      <c r="M1279" s="0" t="s">
        <v>61</v>
      </c>
      <c r="N1279" s="0" t="s">
        <v>32</v>
      </c>
      <c r="O1279" s="0" t="s">
        <v>35</v>
      </c>
      <c r="P1279" s="0" t="s">
        <v>527</v>
      </c>
      <c r="Q1279" s="0" t="s">
        <v>3034</v>
      </c>
      <c r="R1279" s="0" t="s">
        <v>3173</v>
      </c>
      <c r="S1279" s="0" t="s">
        <v>32</v>
      </c>
      <c r="T1279" s="0">
        <f>HYPERLINK("https://ec-qa-storage.kldlms.com/ItemVariation/08DD1460-F038-46C5-8439-CF83B0920957/8327B2E7-5938-428F-9362-BD9C35956BF0.jpg","Variant Image")</f>
      </c>
      <c r="U1279" s="0">
        <f>HYPERLINK("https://ec-qa-storage.kldlms.com/Item/08DD1460-F038-46C5-8439-CF83B0920957/438AD42F-45AA-4FEC-A487-8F96BD4D1C4D.jpg","Thumbnail Image")</f>
      </c>
      <c r="V1279" s="0">
        <f>HYPERLINK("https://ec-qa-storage.kldlms.com/ItemGallery/08DD1460-F038-46C5-8439-CF83B0920957/BFCCC1C7-28F6-40C4-9D54-671DD0400FF5.jpg","Gallery Image ")</f>
      </c>
      <c r="W1279" s="0" t="s">
        <v>22</v>
      </c>
    </row>
    <row r="1280">
      <c r="P1280" s="0" t="s">
        <v>593</v>
      </c>
      <c r="Q1280" s="0" t="s">
        <v>3034</v>
      </c>
      <c r="R1280" s="0" t="s">
        <v>3165</v>
      </c>
      <c r="S1280" s="0" t="s">
        <v>32</v>
      </c>
      <c r="T1280" s="0">
        <f>HYPERLINK("https://ec-qa-storage.kldlms.com/ItemVariation/08DD1460-F038-46C5-8439-CF83B0920957/7024D277-A20A-42E5-9D1D-7E215FA661E2.jpg","Variant Image")</f>
      </c>
    </row>
    <row r="1281">
      <c r="A1281" s="0" t="s">
        <v>4754</v>
      </c>
      <c r="B1281" s="0" t="s">
        <v>4754</v>
      </c>
      <c r="C1281" s="0" t="s">
        <v>4788</v>
      </c>
      <c r="D1281" s="0" t="s">
        <v>27</v>
      </c>
      <c r="E1281" s="0" t="s">
        <v>3136</v>
      </c>
      <c r="F1281" s="0" t="s">
        <v>3137</v>
      </c>
      <c r="G1281" s="0" t="s">
        <v>4754</v>
      </c>
      <c r="H1281" s="0" t="s">
        <v>4754</v>
      </c>
      <c r="I1281" s="0" t="s">
        <v>4789</v>
      </c>
      <c r="J1281" s="0" t="s">
        <v>4789</v>
      </c>
      <c r="K1281" s="0" t="s">
        <v>4790</v>
      </c>
      <c r="L1281" s="0" t="s">
        <v>32</v>
      </c>
      <c r="M1281" s="0" t="s">
        <v>61</v>
      </c>
      <c r="N1281" s="0" t="s">
        <v>32</v>
      </c>
      <c r="O1281" s="0" t="s">
        <v>35</v>
      </c>
      <c r="P1281" s="0" t="s">
        <v>593</v>
      </c>
      <c r="Q1281" s="0" t="s">
        <v>4790</v>
      </c>
      <c r="R1281" s="0" t="s">
        <v>4788</v>
      </c>
      <c r="S1281" s="0" t="s">
        <v>32</v>
      </c>
      <c r="T1281" s="0">
        <f>HYPERLINK("https://ec-qa-storage.kldlms.com/ItemVariation/08DD1460-F7AF-4750-87AF-A70BE872204A/CAED399D-60FF-43C8-8C40-30BB7C51CE71.jpg","Variant Image")</f>
      </c>
      <c r="U1281" s="0">
        <f>HYPERLINK("https://ec-qa-storage.kldlms.com/Item/08DD1460-F7AF-4750-87AF-A70BE872204A/1D90719C-F1D9-4790-9826-EC586953B8D9.jpg","Thumbnail Image")</f>
      </c>
      <c r="V1281" s="0">
        <f>HYPERLINK("https://ec-qa-storage.kldlms.com/ItemGallery/08DD1460-F7AF-4750-87AF-A70BE872204A/B17435F6-4E4D-4795-9818-F4D7E17806C1.jpg","Gallery Image ")</f>
      </c>
      <c r="W1281" s="0" t="s">
        <v>22</v>
      </c>
    </row>
    <row r="1282">
      <c r="A1282" s="0" t="s">
        <v>3191</v>
      </c>
      <c r="B1282" s="0" t="s">
        <v>3191</v>
      </c>
      <c r="C1282" s="0" t="s">
        <v>3196</v>
      </c>
      <c r="D1282" s="0" t="s">
        <v>27</v>
      </c>
      <c r="E1282" s="0" t="s">
        <v>3155</v>
      </c>
      <c r="F1282" s="0" t="s">
        <v>3137</v>
      </c>
      <c r="G1282" s="0" t="s">
        <v>3191</v>
      </c>
      <c r="H1282" s="0" t="s">
        <v>3191</v>
      </c>
      <c r="I1282" s="0" t="s">
        <v>3197</v>
      </c>
      <c r="J1282" s="0" t="s">
        <v>3197</v>
      </c>
      <c r="K1282" s="0" t="s">
        <v>3198</v>
      </c>
      <c r="L1282" s="0" t="s">
        <v>32</v>
      </c>
      <c r="M1282" s="0" t="s">
        <v>61</v>
      </c>
      <c r="N1282" s="0" t="s">
        <v>32</v>
      </c>
      <c r="O1282" s="0" t="s">
        <v>35</v>
      </c>
      <c r="P1282" s="0" t="s">
        <v>527</v>
      </c>
      <c r="Q1282" s="0" t="s">
        <v>3198</v>
      </c>
      <c r="R1282" s="0" t="s">
        <v>3196</v>
      </c>
      <c r="S1282" s="0" t="s">
        <v>32</v>
      </c>
      <c r="T1282" s="0">
        <f>HYPERLINK("https://ec-qa-storage.kldlms.com/ItemVariation/08DD1460-F86D-44F5-8B35-CECCAE71C5E7/69EB8178-2A36-440D-B0B9-A08F22F70845.jpg","Variant Image")</f>
      </c>
      <c r="U1282" s="0">
        <f>HYPERLINK("https://ec-qa-storage.kldlms.com/Item/08DD1460-F86D-44F5-8B35-CECCAE71C5E7/3E9CA356-C785-4807-AD90-3BB50D695005.jpg","Thumbnail Image")</f>
      </c>
      <c r="V1282" s="0">
        <f>HYPERLINK("https://ec-qa-storage.kldlms.com/ItemGallery/08DD1460-F86D-44F5-8B35-CECCAE71C5E7/44CDBBC7-0A08-4C3A-A6E3-CE9E92AE5095.jpg","Gallery Image ")</f>
      </c>
      <c r="W1282" s="0" t="s">
        <v>22</v>
      </c>
    </row>
    <row r="1283">
      <c r="P1283" s="0" t="s">
        <v>593</v>
      </c>
      <c r="Q1283" s="0" t="s">
        <v>3198</v>
      </c>
      <c r="R1283" s="0" t="s">
        <v>3192</v>
      </c>
      <c r="S1283" s="0" t="s">
        <v>32</v>
      </c>
      <c r="T1283" s="0">
        <f>HYPERLINK("https://ec-qa-storage.kldlms.com/ItemVariation/08DD1460-F86D-44F5-8B35-CECCAE71C5E7/1BA5498F-681A-4918-9CE6-94A5873FCB58.jpg","Variant Image")</f>
      </c>
    </row>
    <row r="1284">
      <c r="A1284" s="0" t="s">
        <v>3200</v>
      </c>
      <c r="B1284" s="0" t="s">
        <v>3200</v>
      </c>
      <c r="C1284" s="0" t="s">
        <v>3201</v>
      </c>
      <c r="D1284" s="0" t="s">
        <v>27</v>
      </c>
      <c r="E1284" s="0" t="s">
        <v>3155</v>
      </c>
      <c r="F1284" s="0" t="s">
        <v>3137</v>
      </c>
      <c r="G1284" s="0" t="s">
        <v>3200</v>
      </c>
      <c r="H1284" s="0" t="s">
        <v>3200</v>
      </c>
      <c r="I1284" s="0" t="s">
        <v>3202</v>
      </c>
      <c r="J1284" s="0" t="s">
        <v>3202</v>
      </c>
      <c r="K1284" s="0" t="s">
        <v>3203</v>
      </c>
      <c r="L1284" s="0" t="s">
        <v>32</v>
      </c>
      <c r="M1284" s="0" t="s">
        <v>61</v>
      </c>
      <c r="N1284" s="0" t="s">
        <v>32</v>
      </c>
      <c r="O1284" s="0" t="s">
        <v>35</v>
      </c>
      <c r="P1284" s="0" t="s">
        <v>593</v>
      </c>
      <c r="Q1284" s="0" t="s">
        <v>3203</v>
      </c>
      <c r="R1284" s="0" t="s">
        <v>3201</v>
      </c>
      <c r="S1284" s="0" t="s">
        <v>32</v>
      </c>
      <c r="T1284" s="0">
        <f>HYPERLINK("https://ec-qa-storage.kldlms.com/ItemVariation/08DD1460-FAE3-4D77-81F5-791C38A55B21/0C4E07B9-579D-41B4-9698-86FDCCD8CD4F.jpg","Variant Image")</f>
      </c>
      <c r="U1284" s="0">
        <f>HYPERLINK("https://ec-qa-storage.kldlms.com/Item/08DD1460-FAE3-4D77-81F5-791C38A55B21/64A5FF46-7E0F-4025-B690-91AB9AA61B7E.jpg","Thumbnail Image")</f>
      </c>
      <c r="V1284" s="0">
        <f>HYPERLINK("https://ec-qa-storage.kldlms.com/ItemGallery/08DD1460-FAE3-4D77-81F5-791C38A55B21/2F8C9FDE-E08F-4F97-A286-DA6EA3DD6FE6.jpg","Gallery Image ")</f>
      </c>
      <c r="W1284" s="0" t="s">
        <v>22</v>
      </c>
    </row>
    <row r="1285">
      <c r="A1285" s="0" t="s">
        <v>4887</v>
      </c>
      <c r="B1285" s="0" t="s">
        <v>4887</v>
      </c>
      <c r="C1285" s="0" t="s">
        <v>4888</v>
      </c>
      <c r="D1285" s="0" t="s">
        <v>27</v>
      </c>
      <c r="E1285" s="0" t="s">
        <v>3609</v>
      </c>
      <c r="F1285" s="0" t="s">
        <v>3137</v>
      </c>
      <c r="G1285" s="0" t="s">
        <v>4887</v>
      </c>
      <c r="H1285" s="0" t="s">
        <v>4887</v>
      </c>
      <c r="I1285" s="0" t="s">
        <v>4889</v>
      </c>
      <c r="J1285" s="0" t="s">
        <v>4889</v>
      </c>
      <c r="K1285" s="0" t="s">
        <v>4890</v>
      </c>
      <c r="L1285" s="0" t="s">
        <v>32</v>
      </c>
      <c r="M1285" s="0" t="s">
        <v>61</v>
      </c>
      <c r="N1285" s="0" t="s">
        <v>32</v>
      </c>
      <c r="O1285" s="0" t="s">
        <v>35</v>
      </c>
      <c r="P1285" s="0" t="s">
        <v>4891</v>
      </c>
      <c r="Q1285" s="0" t="s">
        <v>4890</v>
      </c>
      <c r="R1285" s="0" t="s">
        <v>4888</v>
      </c>
      <c r="S1285" s="0" t="s">
        <v>32</v>
      </c>
      <c r="T1285" s="0">
        <f>HYPERLINK("https://ec-qa-storage.kldlms.com/ItemVariation/08DD1460-FBD2-472A-8C07-8E9F17B183F0/C2573DD7-87D9-4513-BFA6-19F3BE69714E.jpg","Variant Image")</f>
      </c>
      <c r="U1285" s="0">
        <f>HYPERLINK("https://ec-qa-storage.kldlms.com/Item/08DD1460-FBD2-472A-8C07-8E9F17B183F0/3C78CDFC-F9D2-4970-8D6C-D0182CAEFBB7.jpg","Thumbnail Image")</f>
      </c>
      <c r="V1285" s="0">
        <f>HYPERLINK("https://ec-qa-storage.kldlms.com/ItemGallery/08DD1460-FBD2-472A-8C07-8E9F17B183F0/E80C0F94-D2C9-44B7-92AC-3EC92BA274F8.jpg","Gallery Image ")</f>
      </c>
      <c r="W1285" s="0" t="s">
        <v>22</v>
      </c>
    </row>
    <row r="1286">
      <c r="A1286" s="0" t="s">
        <v>3694</v>
      </c>
      <c r="B1286" s="0" t="s">
        <v>3694</v>
      </c>
      <c r="C1286" s="0" t="s">
        <v>3695</v>
      </c>
      <c r="D1286" s="0" t="s">
        <v>27</v>
      </c>
      <c r="E1286" s="0" t="s">
        <v>3160</v>
      </c>
      <c r="F1286" s="0" t="s">
        <v>3137</v>
      </c>
      <c r="G1286" s="0" t="s">
        <v>3694</v>
      </c>
      <c r="H1286" s="0" t="s">
        <v>3694</v>
      </c>
      <c r="I1286" s="0" t="s">
        <v>3696</v>
      </c>
      <c r="J1286" s="0" t="s">
        <v>3696</v>
      </c>
      <c r="K1286" s="0" t="s">
        <v>3697</v>
      </c>
      <c r="L1286" s="0" t="s">
        <v>32</v>
      </c>
      <c r="M1286" s="0" t="s">
        <v>61</v>
      </c>
      <c r="N1286" s="0" t="s">
        <v>32</v>
      </c>
      <c r="O1286" s="0" t="s">
        <v>35</v>
      </c>
      <c r="P1286" s="0" t="s">
        <v>527</v>
      </c>
      <c r="Q1286" s="0" t="s">
        <v>3697</v>
      </c>
      <c r="R1286" s="0" t="s">
        <v>3695</v>
      </c>
      <c r="S1286" s="0" t="s">
        <v>32</v>
      </c>
      <c r="T1286" s="0">
        <f>HYPERLINK("https://ec-qa-storage.kldlms.com/ItemVariation/08DD1460-FC21-4410-8C23-3CFCF977699B/27656061-D296-4593-940B-3C1B1E577EAC.jpg","Variant Image")</f>
      </c>
      <c r="U1286" s="0">
        <f>HYPERLINK("https://ec-qa-storage.kldlms.com/Item/08DD1460-FC21-4410-8C23-3CFCF977699B/083895A1-EE89-4E3C-B3E4-88EF19DB76EE.jpg","Thumbnail Image")</f>
      </c>
      <c r="V1286" s="0">
        <f>HYPERLINK("https://ec-qa-storage.kldlms.com/ItemGallery/08DD1460-FC21-4410-8C23-3CFCF977699B/B9347873-84C7-401D-8C14-A748E3DF7E62.jpg","Gallery Image ")</f>
      </c>
      <c r="W1286" s="0" t="s">
        <v>22</v>
      </c>
    </row>
    <row r="1287">
      <c r="A1287" s="0" t="s">
        <v>4892</v>
      </c>
      <c r="B1287" s="0" t="s">
        <v>4892</v>
      </c>
      <c r="C1287" s="0" t="s">
        <v>4893</v>
      </c>
      <c r="D1287" s="0" t="s">
        <v>27</v>
      </c>
      <c r="E1287" s="0" t="s">
        <v>3160</v>
      </c>
      <c r="F1287" s="0" t="s">
        <v>3137</v>
      </c>
      <c r="G1287" s="0" t="s">
        <v>4892</v>
      </c>
      <c r="H1287" s="0" t="s">
        <v>4892</v>
      </c>
      <c r="I1287" s="0" t="s">
        <v>4894</v>
      </c>
      <c r="J1287" s="0" t="s">
        <v>4894</v>
      </c>
      <c r="K1287" s="0" t="s">
        <v>1208</v>
      </c>
      <c r="L1287" s="0" t="s">
        <v>32</v>
      </c>
      <c r="M1287" s="0" t="s">
        <v>61</v>
      </c>
      <c r="N1287" s="0" t="s">
        <v>32</v>
      </c>
      <c r="O1287" s="0" t="s">
        <v>35</v>
      </c>
      <c r="P1287" s="0" t="s">
        <v>39</v>
      </c>
      <c r="Q1287" s="0" t="s">
        <v>1208</v>
      </c>
      <c r="R1287" s="0" t="s">
        <v>4893</v>
      </c>
      <c r="S1287" s="0" t="s">
        <v>32</v>
      </c>
      <c r="T1287" s="0">
        <f>HYPERLINK("https://ec-qa-storage.kldlms.com/ItemVariation/08DD1460-FD5A-467B-81F4-6929830A6AE8/D43F5D46-2080-4E7E-AFE9-0AA657D8373B.jpg","Variant Image")</f>
      </c>
      <c r="U1287" s="0">
        <f>HYPERLINK("https://ec-qa-storage.kldlms.com/Item/08DD1460-FD5A-467B-81F4-6929830A6AE8/05B8D2E1-FBDB-4AAB-80D8-B3D6C20F33B4.jpg","Thumbnail Image")</f>
      </c>
      <c r="V1287" s="0">
        <f>HYPERLINK("https://ec-qa-storage.kldlms.com/ItemGallery/08DD1460-FD5A-467B-81F4-6929830A6AE8/5C987D6C-1A41-41FA-AD06-FB47406CFB50.jpg","Gallery Image ")</f>
      </c>
      <c r="W1287" s="0" t="s">
        <v>22</v>
      </c>
    </row>
    <row r="1288">
      <c r="A1288" s="0" t="s">
        <v>4792</v>
      </c>
      <c r="B1288" s="0" t="s">
        <v>4792</v>
      </c>
      <c r="C1288" s="0" t="s">
        <v>4793</v>
      </c>
      <c r="D1288" s="0" t="s">
        <v>27</v>
      </c>
      <c r="E1288" s="0" t="s">
        <v>3136</v>
      </c>
      <c r="F1288" s="0" t="s">
        <v>3137</v>
      </c>
      <c r="G1288" s="0" t="s">
        <v>4792</v>
      </c>
      <c r="H1288" s="0" t="s">
        <v>4792</v>
      </c>
      <c r="I1288" s="0" t="s">
        <v>4794</v>
      </c>
      <c r="J1288" s="0" t="s">
        <v>4794</v>
      </c>
      <c r="K1288" s="0" t="s">
        <v>124</v>
      </c>
      <c r="L1288" s="0" t="s">
        <v>32</v>
      </c>
      <c r="M1288" s="0" t="s">
        <v>61</v>
      </c>
      <c r="N1288" s="0" t="s">
        <v>32</v>
      </c>
      <c r="O1288" s="0" t="s">
        <v>35</v>
      </c>
      <c r="P1288" s="0" t="s">
        <v>527</v>
      </c>
      <c r="Q1288" s="0" t="s">
        <v>124</v>
      </c>
      <c r="R1288" s="0" t="s">
        <v>4793</v>
      </c>
      <c r="S1288" s="0" t="s">
        <v>32</v>
      </c>
      <c r="T1288" s="0">
        <f>HYPERLINK("https://ec-qa-storage.kldlms.com/ItemVariation/08DD1460-FD7D-4C0A-8A4B-0AAB782CD552/D9DA1E08-6B8A-49F1-BE3D-68FEB7211399.jpg","Variant Image")</f>
      </c>
      <c r="U1288" s="0">
        <f>HYPERLINK("https://ec-qa-storage.kldlms.com/Item/08DD1460-FD7D-4C0A-8A4B-0AAB782CD552/F2F3E917-5659-4114-AF2B-A2DE40C5155E.jpg","Thumbnail Image")</f>
      </c>
      <c r="V1288" s="0">
        <f>HYPERLINK("https://ec-qa-storage.kldlms.com/ItemGallery/08DD1460-FD7D-4C0A-8A4B-0AAB782CD552/AAE2C5E1-D564-43EB-86AF-0CED8A8AB52A.jpg","Gallery Image ")</f>
      </c>
      <c r="W1288" s="0" t="s">
        <v>22</v>
      </c>
    </row>
    <row r="1289">
      <c r="A1289" s="0" t="s">
        <v>3212</v>
      </c>
      <c r="B1289" s="0" t="s">
        <v>3212</v>
      </c>
      <c r="C1289" s="0" t="s">
        <v>3213</v>
      </c>
      <c r="D1289" s="0" t="s">
        <v>27</v>
      </c>
      <c r="E1289" s="0" t="s">
        <v>3136</v>
      </c>
      <c r="F1289" s="0" t="s">
        <v>3137</v>
      </c>
      <c r="G1289" s="0" t="s">
        <v>3212</v>
      </c>
      <c r="H1289" s="0" t="s">
        <v>3212</v>
      </c>
      <c r="I1289" s="0" t="s">
        <v>3214</v>
      </c>
      <c r="J1289" s="0" t="s">
        <v>3214</v>
      </c>
      <c r="K1289" s="0" t="s">
        <v>3215</v>
      </c>
      <c r="L1289" s="0" t="s">
        <v>32</v>
      </c>
      <c r="M1289" s="0" t="s">
        <v>61</v>
      </c>
      <c r="N1289" s="0" t="s">
        <v>32</v>
      </c>
      <c r="O1289" s="0" t="s">
        <v>35</v>
      </c>
      <c r="P1289" s="0" t="s">
        <v>527</v>
      </c>
      <c r="Q1289" s="0" t="s">
        <v>3215</v>
      </c>
      <c r="R1289" s="0" t="s">
        <v>3213</v>
      </c>
      <c r="S1289" s="0" t="s">
        <v>32</v>
      </c>
      <c r="T1289" s="0">
        <f>HYPERLINK("https://ec-qa-storage.kldlms.com/ItemVariation/08DD1460-FEAB-4A52-8435-5B1B4FAC0948/21F57374-F14E-411E-9F9A-7F755B899DD9.jpg","Variant Image")</f>
      </c>
      <c r="U1289" s="0">
        <f>HYPERLINK("https://ec-qa-storage.kldlms.com/Item/08DD1460-FEAB-4A52-8435-5B1B4FAC0948/833B7E7D-542C-4AB2-8219-C52CFC9559FE.jpg","Thumbnail Image")</f>
      </c>
      <c r="V1289" s="0">
        <f>HYPERLINK("https://ec-qa-storage.kldlms.com/ItemGallery/08DD1460-FEAB-4A52-8435-5B1B4FAC0948/044A4EBA-85F3-4361-BC6C-D5207B4B40DC.jpg","Gallery Image ")</f>
      </c>
      <c r="W1289" s="0" t="s">
        <v>22</v>
      </c>
    </row>
    <row r="1290">
      <c r="A1290" s="0" t="s">
        <v>3217</v>
      </c>
      <c r="B1290" s="0" t="s">
        <v>3217</v>
      </c>
      <c r="C1290" s="0" t="s">
        <v>3222</v>
      </c>
      <c r="D1290" s="0" t="s">
        <v>27</v>
      </c>
      <c r="E1290" s="0" t="s">
        <v>3155</v>
      </c>
      <c r="F1290" s="0" t="s">
        <v>3137</v>
      </c>
      <c r="G1290" s="0" t="s">
        <v>3217</v>
      </c>
      <c r="H1290" s="0" t="s">
        <v>3217</v>
      </c>
      <c r="I1290" s="0" t="s">
        <v>3223</v>
      </c>
      <c r="J1290" s="0" t="s">
        <v>3223</v>
      </c>
      <c r="K1290" s="0" t="s">
        <v>408</v>
      </c>
      <c r="L1290" s="0" t="s">
        <v>32</v>
      </c>
      <c r="M1290" s="0" t="s">
        <v>61</v>
      </c>
      <c r="N1290" s="0" t="s">
        <v>32</v>
      </c>
      <c r="O1290" s="0" t="s">
        <v>35</v>
      </c>
      <c r="P1290" s="0" t="s">
        <v>527</v>
      </c>
      <c r="Q1290" s="0" t="s">
        <v>408</v>
      </c>
      <c r="R1290" s="0" t="s">
        <v>3222</v>
      </c>
      <c r="S1290" s="0" t="s">
        <v>32</v>
      </c>
      <c r="T1290" s="0">
        <f>HYPERLINK("https://ec-qa-storage.kldlms.com/ItemVariation/08DD1461-0DEF-416A-83E7-17436AB02BAE/333672D1-8C29-4691-86A5-E25275D8A839.jpg","Variant Image")</f>
      </c>
      <c r="U1290" s="0">
        <f>HYPERLINK("https://ec-qa-storage.kldlms.com/Item/08DD1461-0DEF-416A-83E7-17436AB02BAE/A5FDBCB3-BC8C-473B-8844-05EF5C79FF34.jpg","Thumbnail Image")</f>
      </c>
      <c r="V1290" s="0">
        <f>HYPERLINK("https://ec-qa-storage.kldlms.com/ItemGallery/08DD1461-0DEF-416A-83E7-17436AB02BAE/1FED0E64-019F-4711-A536-5D3973BB28A5.jpg","Gallery Image ")</f>
      </c>
      <c r="W1290" s="0" t="s">
        <v>22</v>
      </c>
    </row>
    <row r="1291">
      <c r="P1291" s="0" t="s">
        <v>593</v>
      </c>
      <c r="Q1291" s="0" t="s">
        <v>408</v>
      </c>
      <c r="R1291" s="0" t="s">
        <v>3218</v>
      </c>
      <c r="S1291" s="0" t="s">
        <v>32</v>
      </c>
      <c r="T1291" s="0">
        <f>HYPERLINK("https://ec-qa-storage.kldlms.com/ItemVariation/08DD1461-0DEF-416A-83E7-17436AB02BAE/266993F1-9AF3-4402-BE2B-F1DC4BEBC25E.jpg","Variant Image")</f>
      </c>
    </row>
    <row r="1292">
      <c r="A1292" s="0" t="s">
        <v>3225</v>
      </c>
      <c r="B1292" s="0" t="s">
        <v>3225</v>
      </c>
      <c r="C1292" s="0" t="s">
        <v>3226</v>
      </c>
      <c r="D1292" s="0" t="s">
        <v>27</v>
      </c>
      <c r="E1292" s="0" t="s">
        <v>3155</v>
      </c>
      <c r="F1292" s="0" t="s">
        <v>3137</v>
      </c>
      <c r="G1292" s="0" t="s">
        <v>3225</v>
      </c>
      <c r="H1292" s="0" t="s">
        <v>3225</v>
      </c>
      <c r="I1292" s="0" t="s">
        <v>3227</v>
      </c>
      <c r="J1292" s="0" t="s">
        <v>3227</v>
      </c>
      <c r="K1292" s="0" t="s">
        <v>3228</v>
      </c>
      <c r="L1292" s="0" t="s">
        <v>32</v>
      </c>
      <c r="M1292" s="0" t="s">
        <v>61</v>
      </c>
      <c r="N1292" s="0" t="s">
        <v>32</v>
      </c>
      <c r="O1292" s="0" t="s">
        <v>35</v>
      </c>
      <c r="P1292" s="0" t="s">
        <v>527</v>
      </c>
      <c r="Q1292" s="0" t="s">
        <v>3228</v>
      </c>
      <c r="R1292" s="0" t="s">
        <v>3226</v>
      </c>
      <c r="S1292" s="0" t="s">
        <v>32</v>
      </c>
      <c r="T1292" s="0">
        <f>HYPERLINK("https://ec-qa-storage.kldlms.com/ItemVariation/08DD1461-1019-43A4-86FC-EDDA5C86B691/3648A4EE-33CB-4BBE-B14B-06FC4A57148E.jpg","Variant Image")</f>
      </c>
      <c r="U1292" s="0">
        <f>HYPERLINK("https://ec-qa-storage.kldlms.com/Item/08DD1461-1019-43A4-86FC-EDDA5C86B691/316566FB-7C32-4DDA-BAD2-59DB32D16065.jpg","Thumbnail Image")</f>
      </c>
      <c r="V1292" s="0">
        <f>HYPERLINK("https://ec-qa-storage.kldlms.com/ItemGallery/08DD1461-1019-43A4-86FC-EDDA5C86B691/37CFDAB1-1361-48C4-A8E3-639F96AE6866.jpg","Gallery Image ")</f>
      </c>
      <c r="W1292" s="0" t="s">
        <v>22</v>
      </c>
    </row>
    <row r="1293">
      <c r="A1293" s="0" t="s">
        <v>3235</v>
      </c>
      <c r="B1293" s="0" t="s">
        <v>3235</v>
      </c>
      <c r="C1293" s="0" t="s">
        <v>3236</v>
      </c>
      <c r="D1293" s="0" t="s">
        <v>27</v>
      </c>
      <c r="E1293" s="0" t="s">
        <v>3155</v>
      </c>
      <c r="F1293" s="0" t="s">
        <v>3137</v>
      </c>
      <c r="G1293" s="0" t="s">
        <v>3235</v>
      </c>
      <c r="H1293" s="0" t="s">
        <v>3235</v>
      </c>
      <c r="I1293" s="0" t="s">
        <v>3237</v>
      </c>
      <c r="J1293" s="0" t="s">
        <v>3237</v>
      </c>
      <c r="K1293" s="0" t="s">
        <v>3238</v>
      </c>
      <c r="L1293" s="0" t="s">
        <v>32</v>
      </c>
      <c r="M1293" s="0" t="s">
        <v>61</v>
      </c>
      <c r="N1293" s="0" t="s">
        <v>32</v>
      </c>
      <c r="O1293" s="0" t="s">
        <v>35</v>
      </c>
      <c r="P1293" s="0" t="s">
        <v>593</v>
      </c>
      <c r="Q1293" s="0" t="s">
        <v>3238</v>
      </c>
      <c r="R1293" s="0" t="s">
        <v>3236</v>
      </c>
      <c r="S1293" s="0" t="s">
        <v>32</v>
      </c>
      <c r="T1293" s="0">
        <f>HYPERLINK("https://ec-qa-storage.kldlms.com/ItemVariation/08DD1461-10A0-4CBE-8360-09CEF0A69747/3A505DEA-9FFD-4FF9-9836-8DFAA77972B4.jpg","Variant Image")</f>
      </c>
      <c r="U1293" s="0">
        <f>HYPERLINK("https://ec-qa-storage.kldlms.com/Item/08DD1461-10A0-4CBE-8360-09CEF0A69747/5F5C3A89-B8E0-4CDE-AAE2-ECCB454AB93A.jpg","Thumbnail Image")</f>
      </c>
      <c r="V1293" s="0">
        <f>HYPERLINK("https://ec-qa-storage.kldlms.com/ItemGallery/08DD1461-10A0-4CBE-8360-09CEF0A69747/D65F06EE-5081-46EB-9C9B-B5E4A5A147B2.jpg","Gallery Image ")</f>
      </c>
      <c r="W1293" s="0" t="s">
        <v>22</v>
      </c>
    </row>
    <row r="1294">
      <c r="A1294" s="0" t="s">
        <v>3212</v>
      </c>
      <c r="B1294" s="0" t="s">
        <v>3212</v>
      </c>
      <c r="C1294" s="0" t="s">
        <v>4806</v>
      </c>
      <c r="D1294" s="0" t="s">
        <v>27</v>
      </c>
      <c r="E1294" s="0" t="s">
        <v>3136</v>
      </c>
      <c r="F1294" s="0" t="s">
        <v>3137</v>
      </c>
      <c r="G1294" s="0" t="s">
        <v>3212</v>
      </c>
      <c r="H1294" s="0" t="s">
        <v>3212</v>
      </c>
      <c r="I1294" s="0" t="s">
        <v>4807</v>
      </c>
      <c r="J1294" s="0" t="s">
        <v>4807</v>
      </c>
      <c r="K1294" s="0" t="s">
        <v>4808</v>
      </c>
      <c r="L1294" s="0" t="s">
        <v>32</v>
      </c>
      <c r="M1294" s="0" t="s">
        <v>61</v>
      </c>
      <c r="N1294" s="0" t="s">
        <v>32</v>
      </c>
      <c r="O1294" s="0" t="s">
        <v>35</v>
      </c>
      <c r="P1294" s="0" t="s">
        <v>527</v>
      </c>
      <c r="Q1294" s="0" t="s">
        <v>4808</v>
      </c>
      <c r="R1294" s="0" t="s">
        <v>4806</v>
      </c>
      <c r="S1294" s="0" t="s">
        <v>32</v>
      </c>
      <c r="T1294" s="0">
        <f>HYPERLINK("https://ec-qa-storage.kldlms.com/ItemVariation/08DD1461-118B-4A7A-8D3E-A4EA8E974EEB/3FB9DBB8-5D52-4644-81BD-4879445D050E.jpg","Variant Image")</f>
      </c>
      <c r="U1294" s="0">
        <f>HYPERLINK("https://ec-qa-storage.kldlms.com/Item/08DD1461-118B-4A7A-8D3E-A4EA8E974EEB/752CAB46-CF27-4937-BF5B-D9D4DEAC6760.jpg","Thumbnail Image")</f>
      </c>
      <c r="V1294" s="0">
        <f>HYPERLINK("https://ec-qa-storage.kldlms.com/ItemGallery/08DD1461-118B-4A7A-8D3E-A4EA8E974EEB/A1E63AD4-C756-44CD-8EBE-74CBFE290A2B.jpg","Gallery Image ")</f>
      </c>
      <c r="W1294" s="0" t="s">
        <v>22</v>
      </c>
    </row>
    <row r="1295">
      <c r="A1295" s="0" t="s">
        <v>4810</v>
      </c>
      <c r="B1295" s="0" t="s">
        <v>4810</v>
      </c>
      <c r="C1295" s="0" t="s">
        <v>4811</v>
      </c>
      <c r="D1295" s="0" t="s">
        <v>27</v>
      </c>
      <c r="E1295" s="0" t="s">
        <v>3136</v>
      </c>
      <c r="F1295" s="0" t="s">
        <v>3137</v>
      </c>
      <c r="G1295" s="0" t="s">
        <v>4810</v>
      </c>
      <c r="H1295" s="0" t="s">
        <v>4810</v>
      </c>
      <c r="I1295" s="0" t="s">
        <v>4812</v>
      </c>
      <c r="J1295" s="0" t="s">
        <v>4812</v>
      </c>
      <c r="K1295" s="0" t="s">
        <v>4813</v>
      </c>
      <c r="L1295" s="0" t="s">
        <v>32</v>
      </c>
      <c r="M1295" s="0" t="s">
        <v>61</v>
      </c>
      <c r="N1295" s="0" t="s">
        <v>32</v>
      </c>
      <c r="O1295" s="0" t="s">
        <v>35</v>
      </c>
      <c r="P1295" s="0" t="s">
        <v>593</v>
      </c>
      <c r="Q1295" s="0" t="s">
        <v>4813</v>
      </c>
      <c r="R1295" s="0" t="s">
        <v>4811</v>
      </c>
      <c r="S1295" s="0" t="s">
        <v>32</v>
      </c>
      <c r="T1295" s="0">
        <f>HYPERLINK("https://ec-qa-storage.kldlms.com/ItemVariation/08DD1461-1390-4E2D-82D3-D77FEFD985E6/9FC0457F-A7D0-42A7-AB3C-2B000EB48D56.jpg","Variant Image")</f>
      </c>
      <c r="U1295" s="0">
        <f>HYPERLINK("https://ec-qa-storage.kldlms.com/Item/08DD1461-1390-4E2D-82D3-D77FEFD985E6/7C870373-04EF-4756-933E-9162F64B8A6F.jpg","Thumbnail Image")</f>
      </c>
      <c r="V1295" s="0">
        <f>HYPERLINK("https://ec-qa-storage.kldlms.com/ItemGallery/08DD1461-1390-4E2D-82D3-D77FEFD985E6/BA8A786B-C4F7-4A8C-B460-73667264C8F3.jpg","Gallery Image ")</f>
      </c>
      <c r="W1295" s="0" t="s">
        <v>22</v>
      </c>
    </row>
    <row r="1296">
      <c r="A1296" s="0" t="s">
        <v>3240</v>
      </c>
      <c r="B1296" s="0" t="s">
        <v>3240</v>
      </c>
      <c r="C1296" s="0" t="s">
        <v>3246</v>
      </c>
      <c r="D1296" s="0" t="s">
        <v>27</v>
      </c>
      <c r="E1296" s="0" t="s">
        <v>3155</v>
      </c>
      <c r="F1296" s="0" t="s">
        <v>3137</v>
      </c>
      <c r="G1296" s="0" t="s">
        <v>3240</v>
      </c>
      <c r="H1296" s="0" t="s">
        <v>3240</v>
      </c>
      <c r="I1296" s="0" t="s">
        <v>3247</v>
      </c>
      <c r="J1296" s="0" t="s">
        <v>3247</v>
      </c>
      <c r="K1296" s="0" t="s">
        <v>3248</v>
      </c>
      <c r="L1296" s="0" t="s">
        <v>32</v>
      </c>
      <c r="M1296" s="0" t="s">
        <v>61</v>
      </c>
      <c r="N1296" s="0" t="s">
        <v>32</v>
      </c>
      <c r="O1296" s="0" t="s">
        <v>35</v>
      </c>
      <c r="P1296" s="0" t="s">
        <v>527</v>
      </c>
      <c r="Q1296" s="0" t="s">
        <v>3248</v>
      </c>
      <c r="R1296" s="0" t="s">
        <v>3246</v>
      </c>
      <c r="S1296" s="0" t="s">
        <v>32</v>
      </c>
      <c r="T1296" s="0">
        <f>HYPERLINK("https://ec-qa-storage.kldlms.com/ItemVariation/08DD1461-147E-4BCF-8EE3-7F83DEF96148/E0E8B998-1B7D-43B6-9162-11420EC24066.png","Variant Image")</f>
      </c>
      <c r="U1296" s="0">
        <f>HYPERLINK("https://ec-qa-storage.kldlms.com/Item/08DD1461-147E-4BCF-8EE3-7F83DEF96148/BD9C2711-E4D3-403D-ADFC-52111B88D613.png","Thumbnail Image")</f>
      </c>
      <c r="V1296" s="0">
        <f>HYPERLINK("https://ec-qa-storage.kldlms.com/ItemGallery/08DD1461-147E-4BCF-8EE3-7F83DEF96148/45460727-D025-4683-B127-8738BECB2092.png","Gallery Image ")</f>
      </c>
      <c r="W1296" s="0" t="s">
        <v>22</v>
      </c>
    </row>
    <row r="1297">
      <c r="P1297" s="0" t="s">
        <v>593</v>
      </c>
      <c r="Q1297" s="0" t="s">
        <v>3248</v>
      </c>
      <c r="R1297" s="0" t="s">
        <v>3241</v>
      </c>
      <c r="S1297" s="0" t="s">
        <v>32</v>
      </c>
      <c r="T1297" s="0">
        <f>HYPERLINK("https://ec-qa-storage.kldlms.com/ItemVariation/08DD1461-147E-4BCF-8EE3-7F83DEF96148/82A951B3-44E6-4A17-BCDD-5451E683358C.jpeg","Variant Image")</f>
      </c>
    </row>
    <row r="1298">
      <c r="A1298" s="0" t="s">
        <v>3251</v>
      </c>
      <c r="B1298" s="0" t="s">
        <v>3251</v>
      </c>
      <c r="C1298" s="0" t="s">
        <v>3252</v>
      </c>
      <c r="D1298" s="0" t="s">
        <v>27</v>
      </c>
      <c r="E1298" s="0" t="s">
        <v>3155</v>
      </c>
      <c r="F1298" s="0" t="s">
        <v>3137</v>
      </c>
      <c r="G1298" s="0" t="s">
        <v>3251</v>
      </c>
      <c r="H1298" s="0" t="s">
        <v>3251</v>
      </c>
      <c r="I1298" s="0" t="s">
        <v>4895</v>
      </c>
      <c r="J1298" s="0" t="s">
        <v>4895</v>
      </c>
      <c r="K1298" s="0" t="s">
        <v>3253</v>
      </c>
      <c r="L1298" s="0" t="s">
        <v>32</v>
      </c>
      <c r="M1298" s="0" t="s">
        <v>61</v>
      </c>
      <c r="N1298" s="0" t="s">
        <v>32</v>
      </c>
      <c r="O1298" s="0" t="s">
        <v>35</v>
      </c>
      <c r="P1298" s="0" t="s">
        <v>527</v>
      </c>
      <c r="Q1298" s="0" t="s">
        <v>3253</v>
      </c>
      <c r="R1298" s="0" t="s">
        <v>3252</v>
      </c>
      <c r="S1298" s="0" t="s">
        <v>32</v>
      </c>
      <c r="T1298" s="0">
        <f>HYPERLINK("https://ec-qa-storage.kldlms.com/ItemVariation/08DD1461-16C8-48B6-8C82-5EE00BC0CA10/712B84BA-BFE2-4489-86E6-7CA1961730ED.png","Variant Image")</f>
      </c>
      <c r="U1298" s="0">
        <f>HYPERLINK("https://ec-qa-storage.kldlms.com/Item/08DD1461-16C8-48B6-8C82-5EE00BC0CA10/648E7122-7BFC-42E1-A613-8D6A3176EC35.png","Thumbnail Image")</f>
      </c>
      <c r="V1298" s="0">
        <f>HYPERLINK("https://ec-qa-storage.kldlms.com/ItemGallery/08DD1461-16C8-48B6-8C82-5EE00BC0CA10/3E44A075-25D1-4194-A0F1-12E31513643B.jpg","Gallery Image ")</f>
      </c>
      <c r="W1298" s="0" t="s">
        <v>22</v>
      </c>
    </row>
    <row r="1299">
      <c r="A1299" s="0" t="s">
        <v>4815</v>
      </c>
      <c r="B1299" s="0" t="s">
        <v>4815</v>
      </c>
      <c r="C1299" s="0" t="s">
        <v>4816</v>
      </c>
      <c r="D1299" s="0" t="s">
        <v>27</v>
      </c>
      <c r="E1299" s="0" t="s">
        <v>3136</v>
      </c>
      <c r="F1299" s="0" t="s">
        <v>3137</v>
      </c>
      <c r="G1299" s="0" t="s">
        <v>4815</v>
      </c>
      <c r="H1299" s="0" t="s">
        <v>4815</v>
      </c>
      <c r="I1299" s="0" t="s">
        <v>4817</v>
      </c>
      <c r="J1299" s="0" t="s">
        <v>4817</v>
      </c>
      <c r="K1299" s="0" t="s">
        <v>4818</v>
      </c>
      <c r="L1299" s="0" t="s">
        <v>32</v>
      </c>
      <c r="M1299" s="0" t="s">
        <v>61</v>
      </c>
      <c r="N1299" s="0" t="s">
        <v>32</v>
      </c>
      <c r="O1299" s="0" t="s">
        <v>35</v>
      </c>
      <c r="P1299" s="0" t="s">
        <v>527</v>
      </c>
      <c r="Q1299" s="0" t="s">
        <v>4818</v>
      </c>
      <c r="R1299" s="0" t="s">
        <v>4816</v>
      </c>
      <c r="S1299" s="0" t="s">
        <v>32</v>
      </c>
      <c r="T1299" s="0">
        <f>HYPERLINK("https://ec-qa-storage.kldlms.com/ItemVariation/08DD1461-16E4-42F3-847B-855FD7A76C05/196B5CF7-F378-4816-839B-547CAD145EAF.jpg","Variant Image")</f>
      </c>
      <c r="U1299" s="0">
        <f>HYPERLINK("https://ec-qa-storage.kldlms.com/Item/08DD1461-16E4-42F3-847B-855FD7A76C05/84104C09-EC65-4E06-944C-670FB6F803C6.jpg","Thumbnail Image")</f>
      </c>
      <c r="V1299" s="0">
        <f>HYPERLINK("https://ec-qa-storage.kldlms.com/ItemGallery/08DD1461-16E4-42F3-847B-855FD7A76C05/88BF859E-42D4-4FD1-840A-EFA35092E564.jpg","Gallery Image ")</f>
      </c>
      <c r="W1299" s="0" t="s">
        <v>22</v>
      </c>
    </row>
    <row r="1300">
      <c r="A1300" s="0" t="s">
        <v>4896</v>
      </c>
      <c r="B1300" s="0" t="s">
        <v>4896</v>
      </c>
      <c r="C1300" s="0" t="s">
        <v>4897</v>
      </c>
      <c r="D1300" s="0" t="s">
        <v>27</v>
      </c>
      <c r="E1300" s="0" t="s">
        <v>4898</v>
      </c>
      <c r="F1300" s="0" t="s">
        <v>3137</v>
      </c>
      <c r="G1300" s="0" t="s">
        <v>4896</v>
      </c>
      <c r="H1300" s="0" t="s">
        <v>4896</v>
      </c>
      <c r="I1300" s="0" t="s">
        <v>4899</v>
      </c>
      <c r="J1300" s="0" t="s">
        <v>4899</v>
      </c>
      <c r="K1300" s="0" t="s">
        <v>4900</v>
      </c>
      <c r="L1300" s="0" t="s">
        <v>32</v>
      </c>
      <c r="M1300" s="0" t="s">
        <v>61</v>
      </c>
      <c r="N1300" s="0" t="s">
        <v>32</v>
      </c>
      <c r="O1300" s="0" t="s">
        <v>35</v>
      </c>
      <c r="P1300" s="0" t="s">
        <v>527</v>
      </c>
      <c r="Q1300" s="0" t="s">
        <v>4900</v>
      </c>
      <c r="R1300" s="0" t="s">
        <v>4897</v>
      </c>
      <c r="S1300" s="0" t="s">
        <v>32</v>
      </c>
      <c r="T1300" s="0">
        <f>HYPERLINK("https://ec-qa-storage.kldlms.com/ItemVariation/08DD1461-1782-47FA-8246-69B30508D749/77C70B7A-7538-40CD-9536-DA2EF92063D7.jpg","Variant Image")</f>
      </c>
      <c r="U1300" s="0">
        <f>HYPERLINK("https://ec-qa-storage.kldlms.com/Item/08DD1461-1782-47FA-8246-69B30508D749/6D769D45-C5B3-4B0C-B3D5-3EA3E099A592.jpg","Thumbnail Image")</f>
      </c>
      <c r="V1300" s="0">
        <f>HYPERLINK("https://ec-qa-storage.kldlms.com/ItemGallery/08DD1461-1782-47FA-8246-69B30508D749/BBF43882-5767-4905-B449-C88A5C45FF2F.jpg","Gallery Image ")</f>
      </c>
      <c r="W1300" s="0" t="s">
        <v>22</v>
      </c>
    </row>
    <row r="1301">
      <c r="A1301" s="0" t="s">
        <v>4901</v>
      </c>
      <c r="B1301" s="0" t="s">
        <v>48</v>
      </c>
      <c r="C1301" s="0" t="s">
        <v>4902</v>
      </c>
      <c r="D1301" s="0" t="s">
        <v>27</v>
      </c>
      <c r="E1301" s="0" t="s">
        <v>4898</v>
      </c>
      <c r="F1301" s="0" t="s">
        <v>3137</v>
      </c>
      <c r="G1301" s="0" t="s">
        <v>4901</v>
      </c>
      <c r="H1301" s="0" t="s">
        <v>4901</v>
      </c>
      <c r="I1301" s="0" t="s">
        <v>4903</v>
      </c>
      <c r="J1301" s="0" t="s">
        <v>4903</v>
      </c>
      <c r="K1301" s="0" t="s">
        <v>4904</v>
      </c>
      <c r="L1301" s="0" t="s">
        <v>32</v>
      </c>
      <c r="M1301" s="0" t="s">
        <v>61</v>
      </c>
      <c r="N1301" s="0" t="s">
        <v>32</v>
      </c>
      <c r="O1301" s="0" t="s">
        <v>35</v>
      </c>
      <c r="P1301" s="0" t="s">
        <v>593</v>
      </c>
      <c r="Q1301" s="0" t="s">
        <v>4904</v>
      </c>
      <c r="R1301" s="0" t="s">
        <v>4902</v>
      </c>
      <c r="S1301" s="0" t="s">
        <v>32</v>
      </c>
      <c r="T1301" s="0">
        <f>HYPERLINK("https://ec-qa-storage.kldlms.com/ItemVariation/08DD1461-191D-4CBA-8E2F-D2BA46FE901B/21F08DC1-7381-45A5-8B95-859CEF2295D4.jpg","Variant Image")</f>
      </c>
      <c r="U1301" s="0">
        <f>HYPERLINK("https://ec-qa-storage.kldlms.com/Item/08DD1461-191D-4CBA-8E2F-D2BA46FE901B/C9207744-43AF-4D85-A068-38F1E413A290.jpg","Thumbnail Image")</f>
      </c>
      <c r="V1301" s="0">
        <f>HYPERLINK("https://ec-qa-storage.kldlms.com/ItemGallery/08DD1461-191D-4CBA-8E2F-D2BA46FE901B/0F5C9B01-34B8-42E1-A815-A0B5F153D733.jpg","Gallery Image ")</f>
      </c>
      <c r="W1301" s="0" t="s">
        <v>22</v>
      </c>
      <c r="X1301" s="0" t="s">
        <v>4905</v>
      </c>
    </row>
    <row r="1302">
      <c r="A1302" s="0" t="s">
        <v>4906</v>
      </c>
      <c r="B1302" s="0" t="s">
        <v>4906</v>
      </c>
      <c r="C1302" s="0" t="s">
        <v>4907</v>
      </c>
      <c r="D1302" s="0" t="s">
        <v>27</v>
      </c>
      <c r="E1302" s="0" t="s">
        <v>4898</v>
      </c>
      <c r="F1302" s="0" t="s">
        <v>3137</v>
      </c>
      <c r="G1302" s="0" t="s">
        <v>4906</v>
      </c>
      <c r="H1302" s="0" t="s">
        <v>4906</v>
      </c>
      <c r="I1302" s="0" t="s">
        <v>4908</v>
      </c>
      <c r="J1302" s="0" t="s">
        <v>4908</v>
      </c>
      <c r="K1302" s="0" t="s">
        <v>4909</v>
      </c>
      <c r="L1302" s="0" t="s">
        <v>32</v>
      </c>
      <c r="M1302" s="0" t="s">
        <v>61</v>
      </c>
      <c r="N1302" s="0" t="s">
        <v>32</v>
      </c>
      <c r="O1302" s="0" t="s">
        <v>35</v>
      </c>
      <c r="P1302" s="0" t="s">
        <v>527</v>
      </c>
      <c r="Q1302" s="0" t="s">
        <v>4909</v>
      </c>
      <c r="R1302" s="0" t="s">
        <v>4907</v>
      </c>
      <c r="S1302" s="0" t="s">
        <v>32</v>
      </c>
      <c r="T1302" s="0">
        <f>HYPERLINK("https://ec-qa-storage.kldlms.com/ItemVariation/08DD1461-19AD-425B-8C0D-4FE0FDA36E47/2D6645E9-26FE-4534-A50C-35203DD00F60.jpg","Variant Image")</f>
      </c>
      <c r="U1302" s="0">
        <f>HYPERLINK("https://ec-qa-storage.kldlms.com/Item/08DD1461-19AD-425B-8C0D-4FE0FDA36E47/E0A9F7D3-2B51-45C3-881C-273A4F22F903.jpg","Thumbnail Image")</f>
      </c>
      <c r="V1302" s="0">
        <f>HYPERLINK("https://ec-qa-storage.kldlms.com/ItemGallery/08DD1461-19AD-425B-8C0D-4FE0FDA36E47/5F10854D-62CA-4CA0-857E-027733E017B9.jpg","Gallery Image ")</f>
      </c>
      <c r="W1302" s="0" t="s">
        <v>22</v>
      </c>
    </row>
    <row r="1303">
      <c r="A1303" s="0" t="s">
        <v>4910</v>
      </c>
      <c r="B1303" s="0" t="s">
        <v>4910</v>
      </c>
      <c r="C1303" s="0" t="s">
        <v>4911</v>
      </c>
      <c r="D1303" s="0" t="s">
        <v>27</v>
      </c>
      <c r="E1303" s="0" t="s">
        <v>4898</v>
      </c>
      <c r="F1303" s="0" t="s">
        <v>3137</v>
      </c>
      <c r="G1303" s="0" t="s">
        <v>4910</v>
      </c>
      <c r="H1303" s="0" t="s">
        <v>4910</v>
      </c>
      <c r="I1303" s="0" t="s">
        <v>4912</v>
      </c>
      <c r="J1303" s="0" t="s">
        <v>4912</v>
      </c>
      <c r="K1303" s="0" t="s">
        <v>3037</v>
      </c>
      <c r="L1303" s="0" t="s">
        <v>32</v>
      </c>
      <c r="M1303" s="0" t="s">
        <v>61</v>
      </c>
      <c r="N1303" s="0" t="s">
        <v>32</v>
      </c>
      <c r="O1303" s="0" t="s">
        <v>35</v>
      </c>
      <c r="P1303" s="0" t="s">
        <v>527</v>
      </c>
      <c r="Q1303" s="0" t="s">
        <v>3037</v>
      </c>
      <c r="R1303" s="0" t="s">
        <v>4911</v>
      </c>
      <c r="S1303" s="0" t="s">
        <v>32</v>
      </c>
      <c r="T1303" s="0">
        <f>HYPERLINK("https://ec-qa-storage.kldlms.com/ItemVariation/08DD1461-1A33-4F73-81B5-4A774709824C/3DEC8F10-B2D5-4342-BF39-8F90856BB392.jpg","Variant Image")</f>
      </c>
      <c r="U1303" s="0">
        <f>HYPERLINK("https://ec-qa-storage.kldlms.com/Item/08DD1461-1A33-4F73-81B5-4A774709824C/A278A5E8-03CE-4898-BA11-5E49A9EA4986.jpg","Thumbnail Image")</f>
      </c>
      <c r="V1303" s="0">
        <f>HYPERLINK("https://ec-qa-storage.kldlms.com/ItemGallery/08DD1461-1A33-4F73-81B5-4A774709824C/D7D1B0A1-2641-400A-9BBA-272C8CF7B308.jpg","Gallery Image ")</f>
      </c>
      <c r="W1303" s="0" t="s">
        <v>22</v>
      </c>
    </row>
    <row r="1304">
      <c r="A1304" s="0" t="s">
        <v>4913</v>
      </c>
      <c r="B1304" s="0" t="s">
        <v>4913</v>
      </c>
      <c r="C1304" s="0" t="s">
        <v>4914</v>
      </c>
      <c r="D1304" s="0" t="s">
        <v>27</v>
      </c>
      <c r="E1304" s="0" t="s">
        <v>4898</v>
      </c>
      <c r="F1304" s="0" t="s">
        <v>3137</v>
      </c>
      <c r="G1304" s="0" t="s">
        <v>4913</v>
      </c>
      <c r="H1304" s="0" t="s">
        <v>4913</v>
      </c>
      <c r="I1304" s="0" t="s">
        <v>4915</v>
      </c>
      <c r="J1304" s="0" t="s">
        <v>4915</v>
      </c>
      <c r="K1304" s="0" t="s">
        <v>4764</v>
      </c>
      <c r="L1304" s="0" t="s">
        <v>32</v>
      </c>
      <c r="M1304" s="0" t="s">
        <v>61</v>
      </c>
      <c r="N1304" s="0" t="s">
        <v>32</v>
      </c>
      <c r="O1304" s="0" t="s">
        <v>35</v>
      </c>
      <c r="P1304" s="0" t="s">
        <v>593</v>
      </c>
      <c r="Q1304" s="0" t="s">
        <v>4764</v>
      </c>
      <c r="R1304" s="0" t="s">
        <v>4914</v>
      </c>
      <c r="S1304" s="0" t="s">
        <v>32</v>
      </c>
      <c r="T1304" s="0">
        <f>HYPERLINK("https://ec-qa-storage.kldlms.com/ItemVariation/08DD1461-1C5A-4775-86A4-3A9E865DA19A/409002AD-2001-446E-8568-2255C20E980C.jpg","Variant Image")</f>
      </c>
      <c r="U1304" s="0">
        <f>HYPERLINK("https://ec-qa-storage.kldlms.com/Item/08DD1461-1C5A-4775-86A4-3A9E865DA19A/E6A919C1-355B-4EA2-BF0A-56B50628A0FD.jpg","Thumbnail Image")</f>
      </c>
      <c r="V1304" s="0">
        <f>HYPERLINK("https://ec-qa-storage.kldlms.com/ItemGallery/08DD1461-1C5A-4775-86A4-3A9E865DA19A/506A95B5-4ED3-4746-A5BF-7C1ACA2A695D.webp","Gallery Image ")</f>
      </c>
      <c r="W1304" s="0" t="s">
        <v>22</v>
      </c>
    </row>
    <row r="1305">
      <c r="A1305" s="0" t="s">
        <v>3279</v>
      </c>
      <c r="B1305" s="0" t="s">
        <v>3279</v>
      </c>
      <c r="C1305" s="0" t="s">
        <v>4916</v>
      </c>
      <c r="D1305" s="0" t="s">
        <v>27</v>
      </c>
      <c r="E1305" s="0" t="s">
        <v>3155</v>
      </c>
      <c r="F1305" s="0" t="s">
        <v>3137</v>
      </c>
      <c r="G1305" s="0" t="s">
        <v>3279</v>
      </c>
      <c r="H1305" s="0" t="s">
        <v>3279</v>
      </c>
      <c r="I1305" s="0" t="s">
        <v>4917</v>
      </c>
      <c r="J1305" s="0" t="s">
        <v>4917</v>
      </c>
      <c r="K1305" s="0" t="s">
        <v>4918</v>
      </c>
      <c r="L1305" s="0" t="s">
        <v>32</v>
      </c>
      <c r="M1305" s="0" t="s">
        <v>61</v>
      </c>
      <c r="N1305" s="0" t="s">
        <v>32</v>
      </c>
      <c r="O1305" s="0" t="s">
        <v>35</v>
      </c>
      <c r="P1305" s="0" t="s">
        <v>527</v>
      </c>
      <c r="Q1305" s="0" t="s">
        <v>4918</v>
      </c>
      <c r="R1305" s="0" t="s">
        <v>4916</v>
      </c>
      <c r="S1305" s="0" t="s">
        <v>32</v>
      </c>
      <c r="T1305" s="0">
        <f>HYPERLINK("https://ec-qa-storage.kldlms.com/ItemVariation/08DD1462-516E-442D-8744-3EAFF4A4BF83/139E44C4-D00E-4B0E-B220-5C89914B45AF.jpg","Variant Image")</f>
      </c>
      <c r="U1305" s="0">
        <f>HYPERLINK("https://ec-qa-storage.kldlms.com/Item/08DD1462-516E-442D-8744-3EAFF4A4BF83/0498423B-0BBE-485E-AD9A-F554AC880C1E.jpg","Thumbnail Image")</f>
      </c>
      <c r="V1305" s="0">
        <f>HYPERLINK("https://ec-qa-storage.kldlms.com/ItemGallery/08DD1462-516E-442D-8744-3EAFF4A4BF83/CA8622FB-1A80-48C4-9067-5ED7EBE0D591.jpg","Gallery Image ")</f>
      </c>
      <c r="W1305" s="0" t="s">
        <v>22</v>
      </c>
    </row>
    <row r="1306">
      <c r="P1306" s="0" t="s">
        <v>593</v>
      </c>
      <c r="Q1306" s="0" t="s">
        <v>4918</v>
      </c>
      <c r="R1306" s="0" t="s">
        <v>3280</v>
      </c>
      <c r="S1306" s="0" t="s">
        <v>32</v>
      </c>
      <c r="T1306" s="0">
        <f>HYPERLINK("https://ec-qa-storage.kldlms.com/ItemVariation/08DD1462-516E-442D-8744-3EAFF4A4BF83/06F5A5FB-8F3B-424A-9133-D9088EBCE0CE.jpeg","Variant Image")</f>
      </c>
    </row>
    <row r="1307">
      <c r="A1307" s="0" t="s">
        <v>4919</v>
      </c>
      <c r="B1307" s="0" t="s">
        <v>4919</v>
      </c>
      <c r="C1307" s="0" t="s">
        <v>4920</v>
      </c>
      <c r="D1307" s="0" t="s">
        <v>27</v>
      </c>
      <c r="E1307" s="0" t="s">
        <v>3155</v>
      </c>
      <c r="F1307" s="0" t="s">
        <v>3137</v>
      </c>
      <c r="G1307" s="0" t="s">
        <v>4919</v>
      </c>
      <c r="H1307" s="0" t="s">
        <v>4919</v>
      </c>
      <c r="I1307" s="0" t="s">
        <v>4921</v>
      </c>
      <c r="J1307" s="0" t="s">
        <v>4921</v>
      </c>
      <c r="K1307" s="0" t="s">
        <v>1955</v>
      </c>
      <c r="L1307" s="0" t="s">
        <v>32</v>
      </c>
      <c r="M1307" s="0" t="s">
        <v>61</v>
      </c>
      <c r="N1307" s="0" t="s">
        <v>32</v>
      </c>
      <c r="O1307" s="0" t="s">
        <v>35</v>
      </c>
      <c r="P1307" s="0" t="s">
        <v>527</v>
      </c>
      <c r="Q1307" s="0" t="s">
        <v>1955</v>
      </c>
      <c r="R1307" s="0" t="s">
        <v>4920</v>
      </c>
      <c r="S1307" s="0" t="s">
        <v>32</v>
      </c>
      <c r="T1307" s="0">
        <f>HYPERLINK("https://ec-qa-storage.kldlms.com/ItemVariation/08DD1462-54F2-4159-85F8-CBDCA0CE998F/43307FC6-5767-41A8-B02B-8ED3A72F341B.jpg","Variant Image")</f>
      </c>
      <c r="U1307" s="0">
        <f>HYPERLINK("https://ec-qa-storage.kldlms.com/Item/08DD1462-54F2-4159-85F8-CBDCA0CE998F/05AA7149-DDCB-41D2-9691-B11814D9B241.jpg","Thumbnail Image")</f>
      </c>
      <c r="V1307" s="0">
        <f>HYPERLINK("https://ec-qa-storage.kldlms.com/ItemGallery/08DD1462-54F2-4159-85F8-CBDCA0CE998F/B218CFF3-95B5-4720-B277-7AACDAD37438.jpg","Gallery Image ")</f>
      </c>
      <c r="W1307" s="0" t="s">
        <v>22</v>
      </c>
    </row>
    <row r="1308">
      <c r="A1308" s="0" t="s">
        <v>4922</v>
      </c>
      <c r="B1308" s="0" t="s">
        <v>4922</v>
      </c>
      <c r="C1308" s="0" t="s">
        <v>4923</v>
      </c>
      <c r="D1308" s="0" t="s">
        <v>27</v>
      </c>
      <c r="E1308" s="0" t="s">
        <v>3155</v>
      </c>
      <c r="F1308" s="0" t="s">
        <v>3137</v>
      </c>
      <c r="G1308" s="0" t="s">
        <v>4922</v>
      </c>
      <c r="H1308" s="0" t="s">
        <v>4922</v>
      </c>
      <c r="I1308" s="0" t="s">
        <v>4924</v>
      </c>
      <c r="J1308" s="0" t="s">
        <v>4924</v>
      </c>
      <c r="K1308" s="0" t="s">
        <v>3730</v>
      </c>
      <c r="L1308" s="0" t="s">
        <v>32</v>
      </c>
      <c r="M1308" s="0" t="s">
        <v>61</v>
      </c>
      <c r="N1308" s="0" t="s">
        <v>32</v>
      </c>
      <c r="O1308" s="0" t="s">
        <v>35</v>
      </c>
      <c r="P1308" s="0" t="s">
        <v>527</v>
      </c>
      <c r="Q1308" s="0" t="s">
        <v>3730</v>
      </c>
      <c r="R1308" s="0" t="s">
        <v>4923</v>
      </c>
      <c r="S1308" s="0" t="s">
        <v>32</v>
      </c>
      <c r="T1308" s="0">
        <f>HYPERLINK("https://ec-qa-storage.kldlms.com/ItemVariation/08DD1462-55C3-4D7E-81FB-43570548962E/7450C6D5-BF1C-4063-BAE5-19AE9D8464BA.jpg","Variant Image")</f>
      </c>
      <c r="U1308" s="0">
        <f>HYPERLINK("https://ec-qa-storage.kldlms.com/Item/08DD1462-55C3-4D7E-81FB-43570548962E/CB9F72E6-1A82-40A9-A0C0-AFD587CC8D29.jpg","Thumbnail Image")</f>
      </c>
      <c r="V1308" s="0">
        <f>HYPERLINK("https://ec-qa-storage.kldlms.com/ItemGallery/08DD1462-55C3-4D7E-81FB-43570548962E/57BF20F2-5F42-4D8B-934A-8AFB79374C3E.jpg","Gallery Image ")</f>
      </c>
      <c r="W1308" s="0" t="s">
        <v>22</v>
      </c>
    </row>
    <row r="1309">
      <c r="A1309" s="0" t="s">
        <v>3212</v>
      </c>
      <c r="B1309" s="0" t="s">
        <v>3212</v>
      </c>
      <c r="C1309" s="0" t="s">
        <v>4925</v>
      </c>
      <c r="D1309" s="0" t="s">
        <v>27</v>
      </c>
      <c r="E1309" s="0" t="s">
        <v>3136</v>
      </c>
      <c r="F1309" s="0" t="s">
        <v>3137</v>
      </c>
      <c r="G1309" s="0" t="s">
        <v>3212</v>
      </c>
      <c r="H1309" s="0" t="s">
        <v>3212</v>
      </c>
      <c r="I1309" s="0" t="s">
        <v>4926</v>
      </c>
      <c r="J1309" s="0" t="s">
        <v>4926</v>
      </c>
      <c r="K1309" s="0" t="s">
        <v>4927</v>
      </c>
      <c r="L1309" s="0" t="s">
        <v>32</v>
      </c>
      <c r="M1309" s="0" t="s">
        <v>61</v>
      </c>
      <c r="N1309" s="0" t="s">
        <v>32</v>
      </c>
      <c r="O1309" s="0" t="s">
        <v>35</v>
      </c>
      <c r="P1309" s="0" t="s">
        <v>527</v>
      </c>
      <c r="Q1309" s="0" t="s">
        <v>4927</v>
      </c>
      <c r="R1309" s="0" t="s">
        <v>4925</v>
      </c>
      <c r="S1309" s="0" t="s">
        <v>32</v>
      </c>
      <c r="T1309" s="0">
        <f>HYPERLINK("https://ec-qa-storage.kldlms.com/ItemVariation/08DD1462-5662-4B3B-8A42-682E71A079E9/7F9B2DC6-A83E-4438-B306-FAC62F4609E5.jpg","Variant Image")</f>
      </c>
      <c r="U1309" s="0">
        <f>HYPERLINK("https://ec-qa-storage.kldlms.com/Item/08DD1462-5662-4B3B-8A42-682E71A079E9/CD66EFC5-C34E-4917-8DCB-7F0657C6EF50.jpg","Thumbnail Image")</f>
      </c>
      <c r="V1309" s="0">
        <f>HYPERLINK("https://ec-qa-storage.kldlms.com/ItemGallery/08DD1462-5662-4B3B-8A42-682E71A079E9/9790EAA9-D95E-4E06-8B28-04992630E18C.jpg","Gallery Image ")</f>
      </c>
      <c r="W1309" s="0" t="s">
        <v>22</v>
      </c>
    </row>
    <row r="1310">
      <c r="A1310" s="0" t="s">
        <v>4928</v>
      </c>
      <c r="B1310" s="0" t="s">
        <v>4928</v>
      </c>
      <c r="C1310" s="0" t="s">
        <v>4929</v>
      </c>
      <c r="D1310" s="0" t="s">
        <v>27</v>
      </c>
      <c r="E1310" s="0" t="s">
        <v>3136</v>
      </c>
      <c r="F1310" s="0" t="s">
        <v>3137</v>
      </c>
      <c r="G1310" s="0" t="s">
        <v>4928</v>
      </c>
      <c r="H1310" s="0" t="s">
        <v>4928</v>
      </c>
      <c r="I1310" s="0" t="s">
        <v>4930</v>
      </c>
      <c r="J1310" s="0" t="s">
        <v>4930</v>
      </c>
      <c r="K1310" s="0" t="s">
        <v>4931</v>
      </c>
      <c r="L1310" s="0" t="s">
        <v>32</v>
      </c>
      <c r="M1310" s="0" t="s">
        <v>61</v>
      </c>
      <c r="N1310" s="0" t="s">
        <v>32</v>
      </c>
      <c r="O1310" s="0" t="s">
        <v>35</v>
      </c>
      <c r="P1310" s="0" t="s">
        <v>527</v>
      </c>
      <c r="Q1310" s="0" t="s">
        <v>4931</v>
      </c>
      <c r="R1310" s="0" t="s">
        <v>4929</v>
      </c>
      <c r="S1310" s="0" t="s">
        <v>32</v>
      </c>
      <c r="T1310" s="0">
        <f>HYPERLINK("https://ec-qa-storage.kldlms.com/ItemVariation/08DD1462-582D-4A4A-858D-A680C8607AF5/8598694E-1E6A-48BA-B3C4-95F7F298B1C8.jpg","Variant Image")</f>
      </c>
      <c r="U1310" s="0">
        <f>HYPERLINK("https://ec-qa-storage.kldlms.com/Item/08DD1462-582D-4A4A-858D-A680C8607AF5/8019029B-ED30-4415-8729-4CFFF470E0F0.jpg","Thumbnail Image")</f>
      </c>
      <c r="V1310" s="0">
        <f>HYPERLINK("https://ec-qa-storage.kldlms.com/ItemGallery/08DD1462-582D-4A4A-858D-A680C8607AF5/89E55B0E-F6E8-4ACD-9BB3-5FDAE0E13A45.jpg","Gallery Image ")</f>
      </c>
      <c r="W1310" s="0" t="s">
        <v>22</v>
      </c>
    </row>
    <row r="1311">
      <c r="A1311" s="0" t="s">
        <v>4831</v>
      </c>
      <c r="B1311" s="0" t="s">
        <v>4831</v>
      </c>
      <c r="C1311" s="0" t="s">
        <v>4932</v>
      </c>
      <c r="D1311" s="0" t="s">
        <v>27</v>
      </c>
      <c r="E1311" s="0" t="s">
        <v>3136</v>
      </c>
      <c r="F1311" s="0" t="s">
        <v>3137</v>
      </c>
      <c r="G1311" s="0" t="s">
        <v>4831</v>
      </c>
      <c r="H1311" s="0" t="s">
        <v>4831</v>
      </c>
      <c r="I1311" s="0" t="s">
        <v>4933</v>
      </c>
      <c r="J1311" s="0" t="s">
        <v>4933</v>
      </c>
      <c r="K1311" s="0" t="s">
        <v>4934</v>
      </c>
      <c r="L1311" s="0" t="s">
        <v>32</v>
      </c>
      <c r="M1311" s="0" t="s">
        <v>61</v>
      </c>
      <c r="N1311" s="0" t="s">
        <v>32</v>
      </c>
      <c r="O1311" s="0" t="s">
        <v>35</v>
      </c>
      <c r="P1311" s="0" t="s">
        <v>593</v>
      </c>
      <c r="Q1311" s="0" t="s">
        <v>4934</v>
      </c>
      <c r="R1311" s="0" t="s">
        <v>4932</v>
      </c>
      <c r="S1311" s="0" t="s">
        <v>32</v>
      </c>
      <c r="T1311" s="0">
        <f>HYPERLINK("https://ec-qa-storage.kldlms.com/ItemVariation/08DD1462-59E0-4102-8957-C215B4C1E718/BB161BF9-76F4-4D91-84FD-DC073B986AF9.jpg","Variant Image")</f>
      </c>
      <c r="U1311" s="0">
        <f>HYPERLINK("https://ec-qa-storage.kldlms.com/Item/08DD1462-59E0-4102-8957-C215B4C1E718/ED6FE504-E44E-47EA-8D31-8B705742A17D.jpg","Thumbnail Image")</f>
      </c>
      <c r="V1311" s="0">
        <f>HYPERLINK("https://ec-qa-storage.kldlms.com/ItemGallery/08DD1462-59E0-4102-8957-C215B4C1E718/A6987C7D-34C4-4134-B701-444103F935CD.jpg","Gallery Image ")</f>
      </c>
      <c r="W1311" s="0" t="s">
        <v>22</v>
      </c>
    </row>
    <row r="1312">
      <c r="A1312" s="0" t="s">
        <v>3200</v>
      </c>
      <c r="B1312" s="0" t="s">
        <v>3200</v>
      </c>
      <c r="C1312" s="0" t="s">
        <v>4935</v>
      </c>
      <c r="D1312" s="0" t="s">
        <v>27</v>
      </c>
      <c r="E1312" s="0" t="s">
        <v>3155</v>
      </c>
      <c r="F1312" s="0" t="s">
        <v>3137</v>
      </c>
      <c r="G1312" s="0" t="s">
        <v>3200</v>
      </c>
      <c r="H1312" s="0" t="s">
        <v>3200</v>
      </c>
      <c r="I1312" s="0" t="s">
        <v>4936</v>
      </c>
      <c r="J1312" s="0" t="s">
        <v>4936</v>
      </c>
      <c r="K1312" s="0" t="s">
        <v>4937</v>
      </c>
      <c r="L1312" s="0" t="s">
        <v>32</v>
      </c>
      <c r="M1312" s="0" t="s">
        <v>61</v>
      </c>
      <c r="N1312" s="0" t="s">
        <v>32</v>
      </c>
      <c r="O1312" s="0" t="s">
        <v>35</v>
      </c>
      <c r="P1312" s="0" t="s">
        <v>593</v>
      </c>
      <c r="Q1312" s="0" t="s">
        <v>4937</v>
      </c>
      <c r="R1312" s="0" t="s">
        <v>4935</v>
      </c>
      <c r="S1312" s="0" t="s">
        <v>32</v>
      </c>
      <c r="T1312" s="0">
        <f>HYPERLINK("https://ec-qa-storage.kldlms.com/ItemVariation/08DD1462-5B2F-42D2-8898-F27868345669/E1172A6A-49EC-4755-9C9E-592E576F3C6F.jpg","Variant Image")</f>
      </c>
      <c r="U1312" s="0">
        <f>HYPERLINK("https://ec-qa-storage.kldlms.com/Item/08DD1462-5B2F-42D2-8898-F27868345669/E07366C6-B931-43D0-9F61-75723FC6F847.jpg","Thumbnail Image")</f>
      </c>
      <c r="V1312" s="0">
        <f>HYPERLINK("https://ec-qa-storage.kldlms.com/ItemGallery/08DD1462-5B2F-42D2-8898-F27868345669/B673680D-E069-43B3-8925-144FD3F7132E.jpg","Gallery Image ")</f>
      </c>
      <c r="W1312" s="0" t="s">
        <v>22</v>
      </c>
    </row>
    <row r="1313">
      <c r="P1313" s="0" t="s">
        <v>527</v>
      </c>
      <c r="Q1313" s="0" t="s">
        <v>4937</v>
      </c>
      <c r="R1313" s="0" t="s">
        <v>4938</v>
      </c>
      <c r="S1313" s="0" t="s">
        <v>32</v>
      </c>
      <c r="T1313" s="0">
        <f>HYPERLINK("https://ec-qa-storage.kldlms.com/ItemVariation/08DD1462-5B2F-42D2-8898-F27868345669/E959B2EF-F388-4858-B280-4D7A090733B1.jpg","Variant Image")</f>
      </c>
    </row>
    <row r="1314">
      <c r="A1314" s="0" t="s">
        <v>4831</v>
      </c>
      <c r="B1314" s="0" t="s">
        <v>4831</v>
      </c>
      <c r="C1314" s="0" t="s">
        <v>4832</v>
      </c>
      <c r="D1314" s="0" t="s">
        <v>27</v>
      </c>
      <c r="E1314" s="0" t="s">
        <v>3136</v>
      </c>
      <c r="F1314" s="0" t="s">
        <v>3137</v>
      </c>
      <c r="G1314" s="0" t="s">
        <v>4831</v>
      </c>
      <c r="H1314" s="0" t="s">
        <v>4831</v>
      </c>
      <c r="I1314" s="0" t="s">
        <v>4939</v>
      </c>
      <c r="J1314" s="0" t="s">
        <v>4939</v>
      </c>
      <c r="K1314" s="0" t="s">
        <v>3139</v>
      </c>
      <c r="L1314" s="0" t="s">
        <v>32</v>
      </c>
      <c r="M1314" s="0" t="s">
        <v>61</v>
      </c>
      <c r="N1314" s="0" t="s">
        <v>32</v>
      </c>
      <c r="O1314" s="0" t="s">
        <v>35</v>
      </c>
      <c r="P1314" s="0" t="s">
        <v>527</v>
      </c>
      <c r="Q1314" s="0" t="s">
        <v>3139</v>
      </c>
      <c r="R1314" s="0" t="s">
        <v>4832</v>
      </c>
      <c r="S1314" s="0" t="s">
        <v>32</v>
      </c>
      <c r="T1314" s="0">
        <f>HYPERLINK("https://ec-qa-storage.kldlms.com/ItemVariation/08DD1462-E7FB-4CB3-8236-A8DE2EF8ACA1/4E55DDF9-824B-4D33-8DED-255058E09B4F.jpg","Variant Image")</f>
      </c>
      <c r="U1314" s="0">
        <f>HYPERLINK("https://ec-qa-storage.kldlms.com/Item/08DD1462-E7FB-4CB3-8236-A8DE2EF8ACA1/3DA631D2-8162-4848-BE40-93862F1AC67A.jpg","Thumbnail Image")</f>
      </c>
      <c r="V1314" s="0">
        <f>HYPERLINK("https://ec-qa-storage.kldlms.com/ItemGallery/08DD1462-E7FB-4CB3-8236-A8DE2EF8ACA1/F14B7B72-1596-41DD-A374-9C8E6123775D.jpg","Gallery Image ")</f>
      </c>
      <c r="W1314" s="0" t="s">
        <v>22</v>
      </c>
    </row>
    <row r="1315">
      <c r="A1315" s="0" t="s">
        <v>4834</v>
      </c>
      <c r="B1315" s="0" t="s">
        <v>4834</v>
      </c>
      <c r="C1315" s="0" t="s">
        <v>4835</v>
      </c>
      <c r="D1315" s="0" t="s">
        <v>27</v>
      </c>
      <c r="E1315" s="0" t="s">
        <v>3155</v>
      </c>
      <c r="F1315" s="0" t="s">
        <v>3137</v>
      </c>
      <c r="G1315" s="0" t="s">
        <v>4834</v>
      </c>
      <c r="H1315" s="0" t="s">
        <v>4834</v>
      </c>
      <c r="I1315" s="0" t="s">
        <v>4940</v>
      </c>
      <c r="J1315" s="0" t="s">
        <v>4940</v>
      </c>
      <c r="K1315" s="0" t="s">
        <v>4836</v>
      </c>
      <c r="L1315" s="0" t="s">
        <v>32</v>
      </c>
      <c r="M1315" s="0" t="s">
        <v>61</v>
      </c>
      <c r="N1315" s="0" t="s">
        <v>32</v>
      </c>
      <c r="O1315" s="0" t="s">
        <v>35</v>
      </c>
      <c r="P1315" s="0" t="s">
        <v>527</v>
      </c>
      <c r="Q1315" s="0" t="s">
        <v>4836</v>
      </c>
      <c r="R1315" s="0" t="s">
        <v>4835</v>
      </c>
      <c r="S1315" s="0" t="s">
        <v>32</v>
      </c>
      <c r="T1315" s="0">
        <f>HYPERLINK("https://ec-qa-storage.kldlms.com/ItemVariation/08DD1462-E9AC-41BC-886F-FB16F07BAEE2/5AC21168-7E17-4B94-B3FA-CC1D35A5F5A2.jpg","Variant Image")</f>
      </c>
      <c r="U1315" s="0">
        <f>HYPERLINK("https://ec-qa-storage.kldlms.com/Item/08DD1462-E9AC-41BC-886F-FB16F07BAEE2/1B680172-786C-453D-98DA-B8936EE66C39.jpg","Thumbnail Image")</f>
      </c>
      <c r="V1315" s="0">
        <f>HYPERLINK("https://ec-qa-storage.kldlms.com/ItemGallery/08DD1462-E9AC-41BC-886F-FB16F07BAEE2/E35A2A8A-2393-47B9-9AA4-1CB91834DD84.jpg","Gallery Image ")</f>
      </c>
      <c r="W1315" s="0" t="s">
        <v>22</v>
      </c>
    </row>
    <row r="1316">
      <c r="A1316" s="0" t="s">
        <v>4840</v>
      </c>
      <c r="B1316" s="0" t="s">
        <v>4840</v>
      </c>
      <c r="C1316" s="0" t="s">
        <v>4841</v>
      </c>
      <c r="D1316" s="0" t="s">
        <v>27</v>
      </c>
      <c r="E1316" s="0" t="s">
        <v>3136</v>
      </c>
      <c r="F1316" s="0" t="s">
        <v>3137</v>
      </c>
      <c r="G1316" s="0" t="s">
        <v>4840</v>
      </c>
      <c r="H1316" s="0" t="s">
        <v>4840</v>
      </c>
      <c r="I1316" s="0" t="s">
        <v>4941</v>
      </c>
      <c r="J1316" s="0" t="s">
        <v>4941</v>
      </c>
      <c r="K1316" s="0" t="s">
        <v>4842</v>
      </c>
      <c r="L1316" s="0" t="s">
        <v>32</v>
      </c>
      <c r="M1316" s="0" t="s">
        <v>61</v>
      </c>
      <c r="N1316" s="0" t="s">
        <v>32</v>
      </c>
      <c r="O1316" s="0" t="s">
        <v>35</v>
      </c>
      <c r="P1316" s="0" t="s">
        <v>527</v>
      </c>
      <c r="Q1316" s="0" t="s">
        <v>4842</v>
      </c>
      <c r="R1316" s="0" t="s">
        <v>4841</v>
      </c>
      <c r="S1316" s="0" t="s">
        <v>32</v>
      </c>
      <c r="T1316" s="0">
        <f>HYPERLINK("https://ec-qa-storage.kldlms.com/ItemVariation/08DD1462-EAAB-42A5-85E4-4F9A856EC9BF/E884D9EF-4385-41C6-8738-747F400DBA71.jpg","Variant Image")</f>
      </c>
      <c r="U1316" s="0">
        <f>HYPERLINK("https://ec-qa-storage.kldlms.com/Item/08DD1462-EAAB-42A5-85E4-4F9A856EC9BF/D2B3DE51-C0D2-4E23-8B1A-500657E61C97.jpg","Thumbnail Image")</f>
      </c>
      <c r="V1316" s="0">
        <f>HYPERLINK("https://ec-qa-storage.kldlms.com/ItemGallery/08DD1462-EAAB-42A5-85E4-4F9A856EC9BF/6E68D3B3-608D-417F-8230-D50CDCA548BE.jpg","Gallery Image ")</f>
      </c>
      <c r="W1316" s="0" t="s">
        <v>22</v>
      </c>
    </row>
    <row r="1317">
      <c r="A1317" s="0" t="s">
        <v>4845</v>
      </c>
      <c r="B1317" s="0" t="s">
        <v>4845</v>
      </c>
      <c r="C1317" s="0" t="s">
        <v>4846</v>
      </c>
      <c r="D1317" s="0" t="s">
        <v>27</v>
      </c>
      <c r="E1317" s="0" t="s">
        <v>3136</v>
      </c>
      <c r="F1317" s="0" t="s">
        <v>3137</v>
      </c>
      <c r="G1317" s="0" t="s">
        <v>4845</v>
      </c>
      <c r="H1317" s="0" t="s">
        <v>4845</v>
      </c>
      <c r="I1317" s="0" t="s">
        <v>4859</v>
      </c>
      <c r="J1317" s="0" t="s">
        <v>4859</v>
      </c>
      <c r="K1317" s="0" t="s">
        <v>4847</v>
      </c>
      <c r="L1317" s="0" t="s">
        <v>32</v>
      </c>
      <c r="M1317" s="0" t="s">
        <v>61</v>
      </c>
      <c r="N1317" s="0" t="s">
        <v>32</v>
      </c>
      <c r="O1317" s="0" t="s">
        <v>35</v>
      </c>
      <c r="P1317" s="0" t="s">
        <v>593</v>
      </c>
      <c r="Q1317" s="0" t="s">
        <v>4847</v>
      </c>
      <c r="R1317" s="0" t="s">
        <v>4846</v>
      </c>
      <c r="S1317" s="0" t="s">
        <v>32</v>
      </c>
      <c r="T1317" s="0">
        <f>HYPERLINK("https://ec-qa-storage.kldlms.com/ItemVariation/08DD1462-EC9F-44D2-8BFF-CCB515FB9957/AE5FB4C9-4EB8-43E8-ACD6-B9E25AD5B359.jpg","Variant Image")</f>
      </c>
      <c r="U1317" s="0">
        <f>HYPERLINK("https://ec-qa-storage.kldlms.com/Item/08DD1462-EC9F-44D2-8BFF-CCB515FB9957/63E6897E-5E9E-43D1-98E1-54EEE5054BF0.jpg","Thumbnail Image")</f>
      </c>
      <c r="V1317" s="0">
        <f>HYPERLINK("https://ec-qa-storage.kldlms.com/ItemGallery/08DD1462-EC9F-44D2-8BFF-CCB515FB9957/7D991D0D-29E5-4C43-A840-8A44E4542225.jpg","Gallery Image ")</f>
      </c>
      <c r="W1317" s="0" t="s">
        <v>22</v>
      </c>
    </row>
    <row r="1318">
      <c r="P1318" s="0" t="s">
        <v>1016</v>
      </c>
      <c r="Q1318" s="0" t="s">
        <v>4847</v>
      </c>
      <c r="R1318" s="0" t="s">
        <v>4850</v>
      </c>
      <c r="S1318" s="0" t="s">
        <v>32</v>
      </c>
      <c r="T1318" s="0">
        <f>HYPERLINK("https://ec-qa-storage.kldlms.com/ItemVariation/08DD1462-EC9F-44D2-8BFF-CCB515FB9957/488CE5CE-76DF-4079-9D4B-D64560A69594.jpg","Variant Image")</f>
      </c>
    </row>
    <row r="1319">
      <c r="P1319" s="0" t="s">
        <v>527</v>
      </c>
      <c r="Q1319" s="0" t="s">
        <v>4847</v>
      </c>
      <c r="R1319" s="0" t="s">
        <v>4852</v>
      </c>
      <c r="S1319" s="0" t="s">
        <v>32</v>
      </c>
      <c r="T1319" s="0">
        <f>HYPERLINK("https://ec-qa-storage.kldlms.com/ItemVariation/08DD1462-EC9F-44D2-8BFF-CCB515FB9957/8A9046B7-8096-4AE7-88A5-9CBBA93082E7.jpg","Variant Image")</f>
      </c>
    </row>
    <row r="1320">
      <c r="A1320" s="0" t="s">
        <v>3551</v>
      </c>
      <c r="B1320" s="0" t="s">
        <v>3551</v>
      </c>
      <c r="C1320" s="0" t="s">
        <v>3552</v>
      </c>
      <c r="D1320" s="0" t="s">
        <v>27</v>
      </c>
      <c r="E1320" s="0" t="s">
        <v>3526</v>
      </c>
      <c r="F1320" s="0" t="s">
        <v>3137</v>
      </c>
      <c r="G1320" s="0" t="s">
        <v>3551</v>
      </c>
      <c r="H1320" s="0" t="s">
        <v>3551</v>
      </c>
      <c r="I1320" s="0" t="s">
        <v>4942</v>
      </c>
      <c r="J1320" s="0" t="s">
        <v>4942</v>
      </c>
      <c r="K1320" s="0" t="s">
        <v>3553</v>
      </c>
      <c r="L1320" s="0" t="s">
        <v>32</v>
      </c>
      <c r="M1320" s="0" t="s">
        <v>61</v>
      </c>
      <c r="N1320" s="0" t="s">
        <v>32</v>
      </c>
      <c r="O1320" s="0" t="s">
        <v>35</v>
      </c>
      <c r="P1320" s="0" t="s">
        <v>593</v>
      </c>
      <c r="Q1320" s="0" t="s">
        <v>3553</v>
      </c>
      <c r="R1320" s="0" t="s">
        <v>3552</v>
      </c>
      <c r="S1320" s="0" t="s">
        <v>32</v>
      </c>
      <c r="T1320" s="0">
        <f>HYPERLINK("https://ec-qa-storage.kldlms.com/ItemVariation/08DD1467-EC27-4DEA-8A4C-5AD91989155C/25FEDC84-9117-446B-834F-2253F107E42A.jpg","Variant Image")</f>
      </c>
      <c r="U1320" s="0">
        <f>HYPERLINK("https://ec-qa-storage.kldlms.com/Item/08DD1467-EC27-4DEA-8A4C-5AD91989155C/1A1D303F-87F1-405C-B7F6-874AA9340165.jpg","Thumbnail Image")</f>
      </c>
      <c r="V1320" s="0">
        <f>HYPERLINK("https://ec-qa-storage.kldlms.com/ItemGallery/08DD1467-EC27-4DEA-8A4C-5AD91989155C/CD9E8B09-8B61-4B6C-B6B4-5C3B7BF3AC47.jpg","Gallery Image ")</f>
      </c>
      <c r="W1320" s="0" t="s">
        <v>22</v>
      </c>
    </row>
    <row r="1321">
      <c r="A1321" s="0" t="s">
        <v>4151</v>
      </c>
      <c r="B1321" s="0" t="s">
        <v>4151</v>
      </c>
      <c r="C1321" s="0" t="s">
        <v>4156</v>
      </c>
      <c r="D1321" s="0" t="s">
        <v>27</v>
      </c>
      <c r="E1321" s="0" t="s">
        <v>4943</v>
      </c>
      <c r="F1321" s="0" t="s">
        <v>3137</v>
      </c>
      <c r="G1321" s="0" t="s">
        <v>4151</v>
      </c>
      <c r="H1321" s="0" t="s">
        <v>4151</v>
      </c>
      <c r="I1321" s="0" t="s">
        <v>4944</v>
      </c>
      <c r="J1321" s="0" t="s">
        <v>4944</v>
      </c>
      <c r="K1321" s="0" t="s">
        <v>4157</v>
      </c>
      <c r="L1321" s="0" t="s">
        <v>32</v>
      </c>
      <c r="M1321" s="0" t="s">
        <v>61</v>
      </c>
      <c r="N1321" s="0" t="s">
        <v>32</v>
      </c>
      <c r="O1321" s="0" t="s">
        <v>35</v>
      </c>
      <c r="P1321" s="0" t="s">
        <v>527</v>
      </c>
      <c r="Q1321" s="0" t="s">
        <v>4157</v>
      </c>
      <c r="R1321" s="0" t="s">
        <v>4156</v>
      </c>
      <c r="S1321" s="0" t="s">
        <v>32</v>
      </c>
      <c r="T1321" s="0">
        <f>HYPERLINK("https://ec-qa-storage.kldlms.com/ItemVariation/08DD1467-EC93-4F91-8FE3-0E773C436B4F/513416FB-1C12-4CF6-9D16-058AEBC6FBDE.jpg","Variant Image")</f>
      </c>
      <c r="U1321" s="0">
        <f>HYPERLINK("https://ec-qa-storage.kldlms.com/Item/08DD1467-EC93-4F91-8FE3-0E773C436B4F/DBC769AA-2CCA-4289-82BE-26141ADE0D25.jpg","Thumbnail Image")</f>
      </c>
      <c r="V1321" s="0">
        <f>HYPERLINK("https://ec-qa-storage.kldlms.com/ItemGallery/08DD1467-EC93-4F91-8FE3-0E773C436B4F/005715F3-3145-461F-B274-FD076D9B718A.jpg","Gallery Image ")</f>
      </c>
      <c r="W1321" s="0" t="s">
        <v>22</v>
      </c>
    </row>
    <row r="1322">
      <c r="P1322" s="0" t="s">
        <v>593</v>
      </c>
      <c r="Q1322" s="0" t="s">
        <v>4157</v>
      </c>
      <c r="R1322" s="0" t="s">
        <v>4152</v>
      </c>
      <c r="S1322" s="0" t="s">
        <v>32</v>
      </c>
      <c r="T1322" s="0">
        <f>HYPERLINK("https://ec-qa-storage.kldlms.com/ItemVariation/08DD1467-EC93-4F91-8FE3-0E773C436B4F/763CEDC8-919B-42F8-B337-493C2727A145.jpg","Variant Image")</f>
      </c>
    </row>
    <row r="1323">
      <c r="A1323" s="0" t="s">
        <v>4343</v>
      </c>
      <c r="B1323" s="0" t="s">
        <v>4343</v>
      </c>
      <c r="C1323" s="0" t="s">
        <v>4344</v>
      </c>
      <c r="D1323" s="0" t="s">
        <v>27</v>
      </c>
      <c r="E1323" s="0" t="s">
        <v>3526</v>
      </c>
      <c r="F1323" s="0" t="s">
        <v>3137</v>
      </c>
      <c r="G1323" s="0" t="s">
        <v>4343</v>
      </c>
      <c r="H1323" s="0" t="s">
        <v>4343</v>
      </c>
      <c r="I1323" s="0" t="s">
        <v>4945</v>
      </c>
      <c r="J1323" s="0" t="s">
        <v>4945</v>
      </c>
      <c r="K1323" s="0" t="s">
        <v>2286</v>
      </c>
      <c r="L1323" s="0" t="s">
        <v>32</v>
      </c>
      <c r="M1323" s="0" t="s">
        <v>61</v>
      </c>
      <c r="N1323" s="0" t="s">
        <v>32</v>
      </c>
      <c r="O1323" s="0" t="s">
        <v>35</v>
      </c>
      <c r="P1323" s="0" t="s">
        <v>593</v>
      </c>
      <c r="Q1323" s="0" t="s">
        <v>2286</v>
      </c>
      <c r="R1323" s="0" t="s">
        <v>4344</v>
      </c>
      <c r="S1323" s="0" t="s">
        <v>32</v>
      </c>
      <c r="T1323" s="0">
        <f>HYPERLINK("https://ec-qa-storage.kldlms.com/ItemVariation/08DD1467-ECCC-4D11-8FFE-D165F9BC9FC1/CAE69140-CED5-4F72-B904-8D2C7ABF62BD.jpg","Variant Image")</f>
      </c>
      <c r="U1323" s="0">
        <f>HYPERLINK("https://ec-qa-storage.kldlms.com/Item/08DD1467-ECCC-4D11-8FFE-D165F9BC9FC1/90C5DDA8-CC2B-41C0-9188-A37D580E542B.jpg","Thumbnail Image")</f>
      </c>
      <c r="V1323" s="0">
        <f>HYPERLINK("https://ec-qa-storage.kldlms.com/ItemGallery/08DD1467-ECCC-4D11-8FFE-D165F9BC9FC1/9507D05B-2E28-4F8F-92F0-B32040D7EAD7.jpg","Gallery Image ")</f>
      </c>
      <c r="W1323" s="0" t="s">
        <v>22</v>
      </c>
    </row>
    <row r="1324">
      <c r="A1324" s="0" t="s">
        <v>3556</v>
      </c>
      <c r="B1324" s="0" t="s">
        <v>3556</v>
      </c>
      <c r="C1324" s="0" t="s">
        <v>3557</v>
      </c>
      <c r="D1324" s="0" t="s">
        <v>4946</v>
      </c>
      <c r="E1324" s="0" t="s">
        <v>3113</v>
      </c>
      <c r="F1324" s="0" t="s">
        <v>3137</v>
      </c>
      <c r="G1324" s="0" t="s">
        <v>3556</v>
      </c>
      <c r="H1324" s="0" t="s">
        <v>3556</v>
      </c>
      <c r="I1324" s="0" t="s">
        <v>4947</v>
      </c>
      <c r="J1324" s="0" t="s">
        <v>4947</v>
      </c>
      <c r="K1324" s="0" t="s">
        <v>3560</v>
      </c>
      <c r="L1324" s="0" t="s">
        <v>32</v>
      </c>
      <c r="M1324" s="0" t="s">
        <v>61</v>
      </c>
      <c r="N1324" s="0" t="s">
        <v>32</v>
      </c>
      <c r="O1324" s="0" t="s">
        <v>35</v>
      </c>
      <c r="P1324" s="0" t="s">
        <v>2083</v>
      </c>
      <c r="Q1324" s="0" t="s">
        <v>3560</v>
      </c>
      <c r="R1324" s="0" t="s">
        <v>3557</v>
      </c>
      <c r="S1324" s="0" t="s">
        <v>32</v>
      </c>
      <c r="T1324" s="0">
        <f>HYPERLINK("https://ec-qa-storage.kldlms.com/ItemVariation/08DD1467-ECEA-48E8-89E9-3B9B91EEEA99/20225E76-1473-4F94-9802-19F7CCD1DA98.webp","Variant Image")</f>
      </c>
      <c r="U1324" s="0">
        <f>HYPERLINK("https://ec-qa-storage.kldlms.com/Item/08DD1467-ECEA-48E8-89E9-3B9B91EEEA99/0C97213A-676C-453D-AA36-FB191B6E8E11.webp","Thumbnail Image")</f>
      </c>
      <c r="V1324" s="0">
        <f>HYPERLINK("https://ec-qa-storage.kldlms.com/ItemGallery/08DD1467-ECEA-48E8-89E9-3B9B91EEEA99/9D32A2F8-5369-4F23-A246-90E049E80A2C.jpg","Gallery Image ")</f>
      </c>
      <c r="W1324" s="0" t="s">
        <v>22</v>
      </c>
    </row>
    <row r="1325">
      <c r="P1325" s="0" t="s">
        <v>39</v>
      </c>
      <c r="Q1325" s="0" t="s">
        <v>3560</v>
      </c>
      <c r="R1325" s="0" t="s">
        <v>3564</v>
      </c>
      <c r="S1325" s="0" t="s">
        <v>32</v>
      </c>
      <c r="T1325" s="0">
        <f>HYPERLINK("https://ec-qa-storage.kldlms.com/ItemVariation/08DD1467-ECEA-48E8-89E9-3B9B91EEEA99/689BBC08-7C6B-49CE-9851-0D5F1714F754.jpg","Variant Image")</f>
      </c>
    </row>
    <row r="1326">
      <c r="A1326" s="0" t="s">
        <v>4948</v>
      </c>
      <c r="B1326" s="0" t="s">
        <v>4948</v>
      </c>
      <c r="C1326" s="0" t="s">
        <v>4949</v>
      </c>
      <c r="D1326" s="0" t="s">
        <v>27</v>
      </c>
      <c r="E1326" s="0" t="s">
        <v>4943</v>
      </c>
      <c r="F1326" s="0" t="s">
        <v>3137</v>
      </c>
      <c r="G1326" s="0" t="s">
        <v>4948</v>
      </c>
      <c r="H1326" s="0" t="s">
        <v>4948</v>
      </c>
      <c r="I1326" s="0" t="s">
        <v>4950</v>
      </c>
      <c r="J1326" s="0" t="s">
        <v>4950</v>
      </c>
      <c r="K1326" s="0" t="s">
        <v>4306</v>
      </c>
      <c r="L1326" s="0" t="s">
        <v>32</v>
      </c>
      <c r="M1326" s="0" t="s">
        <v>61</v>
      </c>
      <c r="N1326" s="0" t="s">
        <v>32</v>
      </c>
      <c r="O1326" s="0" t="s">
        <v>35</v>
      </c>
      <c r="P1326" s="0" t="s">
        <v>593</v>
      </c>
      <c r="Q1326" s="0" t="s">
        <v>4306</v>
      </c>
      <c r="R1326" s="0" t="s">
        <v>4949</v>
      </c>
      <c r="S1326" s="0" t="s">
        <v>32</v>
      </c>
      <c r="T1326" s="0">
        <f>HYPERLINK("https://ec-qa-storage.kldlms.com/ItemVariation/08DD1468-27DE-4380-8A8F-A5BF63E7957F/0FA9F48D-E1ED-4B89-97DD-54FBF438E267.png","Variant Image")</f>
      </c>
      <c r="U1326" s="0">
        <f>HYPERLINK("https://ec-qa-storage.kldlms.com/Item/08DD1468-27DE-4380-8A8F-A5BF63E7957F/323137B5-C696-4500-9057-A5FED3B983C0.png","Thumbnail Image")</f>
      </c>
      <c r="V1326" s="0">
        <f>HYPERLINK("https://ec-qa-storage.kldlms.com/ItemGallery/08DD1468-27DE-4380-8A8F-A5BF63E7957F/2A980286-5A8A-49F2-94F1-F2304ACE0834.png","Gallery Image ")</f>
      </c>
      <c r="W1326" s="0" t="s">
        <v>22</v>
      </c>
    </row>
    <row r="1327">
      <c r="A1327" s="0" t="s">
        <v>3371</v>
      </c>
      <c r="B1327" s="0" t="s">
        <v>3371</v>
      </c>
      <c r="C1327" s="0" t="s">
        <v>3372</v>
      </c>
      <c r="D1327" s="0" t="s">
        <v>27</v>
      </c>
      <c r="E1327" s="0" t="s">
        <v>3155</v>
      </c>
      <c r="F1327" s="0" t="s">
        <v>3137</v>
      </c>
      <c r="G1327" s="0" t="s">
        <v>3371</v>
      </c>
      <c r="H1327" s="0" t="s">
        <v>3371</v>
      </c>
      <c r="I1327" s="0" t="s">
        <v>4951</v>
      </c>
      <c r="J1327" s="0" t="s">
        <v>4951</v>
      </c>
      <c r="K1327" s="0" t="s">
        <v>3373</v>
      </c>
      <c r="L1327" s="0" t="s">
        <v>32</v>
      </c>
      <c r="M1327" s="0" t="s">
        <v>61</v>
      </c>
      <c r="N1327" s="0" t="s">
        <v>32</v>
      </c>
      <c r="O1327" s="0" t="s">
        <v>35</v>
      </c>
      <c r="P1327" s="0" t="s">
        <v>3401</v>
      </c>
      <c r="Q1327" s="0" t="s">
        <v>3373</v>
      </c>
      <c r="R1327" s="0" t="s">
        <v>3372</v>
      </c>
      <c r="S1327" s="0" t="s">
        <v>32</v>
      </c>
      <c r="T1327" s="0">
        <f>HYPERLINK("https://ec-qa-storage.kldlms.com/ItemVariation/08DD1468-27EF-431E-8FC6-3AA8A72891CA/B49769A3-6992-4A7E-8622-94B71454E456.jpg","Variant Image")</f>
      </c>
      <c r="U1327" s="0">
        <f>HYPERLINK("https://ec-qa-storage.kldlms.com/Item/08DD1468-27EF-431E-8FC6-3AA8A72891CA/38499AC0-15C3-4DCE-809F-E7DD7938D1D5.jpg","Thumbnail Image")</f>
      </c>
      <c r="V1327" s="0">
        <f>HYPERLINK("https://ec-qa-storage.kldlms.com/ItemGallery/08DD1468-27EF-431E-8FC6-3AA8A72891CA/07FB8A8F-B158-4372-BC24-2BB5DA44B7AA.jpg","Gallery Image ")</f>
      </c>
      <c r="W1327" s="0" t="s">
        <v>22</v>
      </c>
    </row>
    <row r="1328">
      <c r="A1328" s="0" t="s">
        <v>3381</v>
      </c>
      <c r="B1328" s="0" t="s">
        <v>3381</v>
      </c>
      <c r="C1328" s="0" t="s">
        <v>1107</v>
      </c>
      <c r="D1328" s="0" t="s">
        <v>27</v>
      </c>
      <c r="E1328" s="0" t="s">
        <v>3155</v>
      </c>
      <c r="F1328" s="0" t="s">
        <v>3137</v>
      </c>
      <c r="G1328" s="0" t="s">
        <v>3381</v>
      </c>
      <c r="H1328" s="0" t="s">
        <v>3381</v>
      </c>
      <c r="I1328" s="0" t="s">
        <v>4952</v>
      </c>
      <c r="J1328" s="0" t="s">
        <v>4952</v>
      </c>
      <c r="K1328" s="0" t="s">
        <v>3382</v>
      </c>
      <c r="L1328" s="0" t="s">
        <v>32</v>
      </c>
      <c r="M1328" s="0" t="s">
        <v>61</v>
      </c>
      <c r="N1328" s="0" t="s">
        <v>32</v>
      </c>
      <c r="O1328" s="0" t="s">
        <v>35</v>
      </c>
      <c r="P1328" s="0" t="s">
        <v>121</v>
      </c>
      <c r="Q1328" s="0" t="s">
        <v>3382</v>
      </c>
      <c r="R1328" s="0" t="s">
        <v>1107</v>
      </c>
      <c r="S1328" s="0" t="s">
        <v>32</v>
      </c>
      <c r="T1328" s="0">
        <f>HYPERLINK("https://ec-qa-storage.kldlms.com/ItemVariation/08DD1468-2804-4236-860A-E376E048CB78/DD25744F-5026-42D7-A61D-2D9B2BAE7C66.jpg","Variant Image")</f>
      </c>
      <c r="U1328" s="0">
        <f>HYPERLINK("https://ec-qa-storage.kldlms.com/Item/08DD1468-2804-4236-860A-E376E048CB78/2C31864D-5EF6-4873-BD88-459E3D0328D5.jpg","Thumbnail Image")</f>
      </c>
      <c r="V1328" s="0">
        <f>HYPERLINK("https://ec-qa-storage.kldlms.com/ItemGallery/08DD1468-2804-4236-860A-E376E048CB78/3B2A1D83-511E-4EB1-A8F2-57AF0C691837.jpg","Gallery Image ")</f>
      </c>
      <c r="W1328" s="0" t="s">
        <v>22</v>
      </c>
    </row>
    <row r="1329">
      <c r="A1329" s="0" t="s">
        <v>3402</v>
      </c>
      <c r="B1329" s="0" t="s">
        <v>3402</v>
      </c>
      <c r="C1329" s="0" t="s">
        <v>3418</v>
      </c>
      <c r="D1329" s="0" t="s">
        <v>27</v>
      </c>
      <c r="E1329" s="0" t="s">
        <v>3155</v>
      </c>
      <c r="F1329" s="0" t="s">
        <v>3137</v>
      </c>
      <c r="G1329" s="0" t="s">
        <v>3402</v>
      </c>
      <c r="H1329" s="0" t="s">
        <v>3402</v>
      </c>
      <c r="I1329" s="0" t="s">
        <v>4953</v>
      </c>
      <c r="J1329" s="0" t="s">
        <v>4953</v>
      </c>
      <c r="K1329" s="0" t="s">
        <v>2342</v>
      </c>
      <c r="L1329" s="0" t="s">
        <v>32</v>
      </c>
      <c r="M1329" s="0" t="s">
        <v>61</v>
      </c>
      <c r="N1329" s="0" t="s">
        <v>32</v>
      </c>
      <c r="O1329" s="0" t="s">
        <v>35</v>
      </c>
      <c r="P1329" s="0" t="s">
        <v>527</v>
      </c>
      <c r="Q1329" s="0" t="s">
        <v>3382</v>
      </c>
      <c r="R1329" s="0" t="s">
        <v>3418</v>
      </c>
      <c r="S1329" s="0" t="s">
        <v>32</v>
      </c>
      <c r="T1329" s="0">
        <f>HYPERLINK("https://ec-qa-storage.kldlms.com/ItemVariation/08DD1468-281A-4CEE-85ED-152C961223A0/9C2E1445-E2B7-49BC-BDEF-147FF80B24DA.png","Variant Image")</f>
      </c>
      <c r="U1329" s="0">
        <f>HYPERLINK("https://ec-qa-storage.kldlms.com/Item/08DD1468-281A-4CEE-85ED-152C961223A0/AFF6EB0F-84A4-435F-9054-BEA87E5D90E5.png","Thumbnail Image")</f>
      </c>
      <c r="V1329" s="0">
        <f>HYPERLINK("https://ec-qa-storage.kldlms.com/ItemGallery/08DD1468-281A-4CEE-85ED-152C961223A0/05186D81-E03F-47DE-AACE-42535EF9E904.png","Gallery Image ")</f>
      </c>
      <c r="W1329" s="0" t="s">
        <v>22</v>
      </c>
    </row>
    <row r="1330">
      <c r="P1330" s="0" t="s">
        <v>1016</v>
      </c>
      <c r="Q1330" s="0" t="s">
        <v>3382</v>
      </c>
      <c r="R1330" s="0" t="s">
        <v>3408</v>
      </c>
      <c r="S1330" s="0" t="s">
        <v>32</v>
      </c>
      <c r="T1330" s="0">
        <f>HYPERLINK("https://ec-qa-storage.kldlms.com/ItemVariation/08DD1468-281A-4CEE-85ED-152C961223A0/841BC1B7-893A-4A67-8C4A-0FD8524267EA.png","Variant Image")</f>
      </c>
    </row>
    <row r="1331">
      <c r="P1331" s="0" t="s">
        <v>3401</v>
      </c>
      <c r="Q1331" s="0" t="s">
        <v>3382</v>
      </c>
      <c r="R1331" s="0" t="s">
        <v>3411</v>
      </c>
      <c r="S1331" s="0" t="s">
        <v>32</v>
      </c>
      <c r="T1331" s="0">
        <f>HYPERLINK("https://ec-qa-storage.kldlms.com/ItemVariation/08DD1468-281A-4CEE-85ED-152C961223A0/B69475FD-23A3-47C0-BA81-437B50FFCE95.png","Variant Image")</f>
      </c>
    </row>
    <row r="1332">
      <c r="P1332" s="0" t="s">
        <v>121</v>
      </c>
      <c r="Q1332" s="0" t="s">
        <v>3382</v>
      </c>
      <c r="R1332" s="0" t="s">
        <v>3416</v>
      </c>
      <c r="S1332" s="0" t="s">
        <v>32</v>
      </c>
      <c r="T1332" s="0">
        <f>HYPERLINK("https://ec-qa-storage.kldlms.com/ItemVariation/08DD1468-281A-4CEE-85ED-152C961223A0/F19FBD23-EBAD-4B2C-AA85-81568D8CD56F.png","Variant Image")</f>
      </c>
    </row>
    <row r="1333">
      <c r="A1333" s="0" t="s">
        <v>3472</v>
      </c>
      <c r="B1333" s="0" t="s">
        <v>3472</v>
      </c>
      <c r="C1333" s="0" t="s">
        <v>3473</v>
      </c>
      <c r="D1333" s="0" t="s">
        <v>27</v>
      </c>
      <c r="E1333" s="0" t="s">
        <v>3155</v>
      </c>
      <c r="F1333" s="0" t="s">
        <v>3137</v>
      </c>
      <c r="G1333" s="0" t="s">
        <v>3472</v>
      </c>
      <c r="H1333" s="0" t="s">
        <v>3472</v>
      </c>
      <c r="I1333" s="0" t="s">
        <v>4954</v>
      </c>
      <c r="J1333" s="0" t="s">
        <v>4954</v>
      </c>
      <c r="K1333" s="0" t="s">
        <v>3474</v>
      </c>
      <c r="L1333" s="0" t="s">
        <v>32</v>
      </c>
      <c r="M1333" s="0" t="s">
        <v>61</v>
      </c>
      <c r="N1333" s="0" t="s">
        <v>32</v>
      </c>
      <c r="O1333" s="0" t="s">
        <v>35</v>
      </c>
      <c r="P1333" s="0" t="s">
        <v>527</v>
      </c>
      <c r="Q1333" s="0" t="s">
        <v>3474</v>
      </c>
      <c r="R1333" s="0" t="s">
        <v>3473</v>
      </c>
      <c r="S1333" s="0" t="s">
        <v>32</v>
      </c>
      <c r="T1333" s="0">
        <f>HYPERLINK("https://ec-qa-storage.kldlms.com/ItemVariation/08DD1468-2881-4AA1-81D3-D736DB3F4E61/B0851DE6-FCF1-4F73-8C1E-EE683B87B7AA.jpg","Variant Image")</f>
      </c>
      <c r="U1333" s="0">
        <f>HYPERLINK("https://ec-qa-storage.kldlms.com/Item/08DD1468-2881-4AA1-81D3-D736DB3F4E61/00CB6D99-7283-4A3E-8EEB-6F7CC2E93DEE.jpg","Thumbnail Image")</f>
      </c>
      <c r="V1333" s="0">
        <f>HYPERLINK("https://ec-qa-storage.kldlms.com/ItemGallery/08DD1468-2881-4AA1-81D3-D736DB3F4E61/6A0A1C6D-5519-42B7-9095-A07D5BE37838.png","Gallery Image ")</f>
      </c>
      <c r="W1333" s="0" t="s">
        <v>22</v>
      </c>
    </row>
    <row r="1334">
      <c r="P1334" s="0" t="s">
        <v>1016</v>
      </c>
      <c r="Q1334" s="0" t="s">
        <v>3474</v>
      </c>
      <c r="R1334" s="0" t="s">
        <v>3458</v>
      </c>
      <c r="S1334" s="0" t="s">
        <v>32</v>
      </c>
      <c r="T1334" s="0">
        <f>HYPERLINK("https://ec-qa-storage.kldlms.com/ItemVariation/08DD1468-2881-4AA1-81D3-D736DB3F4E61/9CCC75D2-DBEF-400A-9B10-ADEF17372E83.webp","Variant Image")</f>
      </c>
    </row>
    <row r="1335">
      <c r="P1335" s="0" t="s">
        <v>3401</v>
      </c>
      <c r="Q1335" s="0" t="s">
        <v>3474</v>
      </c>
      <c r="R1335" s="0" t="s">
        <v>3463</v>
      </c>
      <c r="S1335" s="0" t="s">
        <v>32</v>
      </c>
      <c r="T1335" s="0">
        <f>HYPERLINK("https://ec-qa-storage.kldlms.com/ItemVariation/08DD1468-2881-4AA1-81D3-D736DB3F4E61/4C1C08A4-9739-4C26-95A9-9780E91984CB.jpg","Variant Image")</f>
      </c>
    </row>
    <row r="1336">
      <c r="P1336" s="0" t="s">
        <v>121</v>
      </c>
      <c r="Q1336" s="0" t="s">
        <v>3474</v>
      </c>
      <c r="R1336" s="0" t="s">
        <v>3468</v>
      </c>
      <c r="S1336" s="0" t="s">
        <v>32</v>
      </c>
      <c r="T1336" s="0">
        <f>HYPERLINK("https://ec-qa-storage.kldlms.com/ItemVariation/08DD1468-2881-4AA1-81D3-D736DB3F4E61/4EB01A80-3D3A-4B9F-82DC-3DC54E54592A.jpg","Variant Image")</f>
      </c>
    </row>
    <row r="1337">
      <c r="P1337" s="0" t="s">
        <v>593</v>
      </c>
      <c r="Q1337" s="0" t="s">
        <v>3474</v>
      </c>
      <c r="R1337" s="0" t="s">
        <v>3454</v>
      </c>
      <c r="S1337" s="0" t="s">
        <v>32</v>
      </c>
      <c r="T1337" s="0">
        <f>HYPERLINK("https://ec-qa-storage.kldlms.com/ItemVariation/08DD1468-2881-4AA1-81D3-D736DB3F4E61/AABC0940-EA9B-4661-90B1-B64FD00B59B0.jpg","Variant Image")</f>
      </c>
    </row>
    <row r="1338">
      <c r="A1338" s="0" t="s">
        <v>1634</v>
      </c>
      <c r="B1338" s="0" t="s">
        <v>1634</v>
      </c>
      <c r="C1338" s="0" t="s">
        <v>4955</v>
      </c>
      <c r="D1338" s="0" t="s">
        <v>27</v>
      </c>
      <c r="E1338" s="0" t="s">
        <v>3526</v>
      </c>
      <c r="F1338" s="0" t="s">
        <v>3137</v>
      </c>
      <c r="G1338" s="0" t="s">
        <v>1634</v>
      </c>
      <c r="H1338" s="0" t="s">
        <v>1634</v>
      </c>
      <c r="I1338" s="0" t="s">
        <v>4956</v>
      </c>
      <c r="J1338" s="0" t="s">
        <v>4956</v>
      </c>
      <c r="K1338" s="0" t="s">
        <v>1432</v>
      </c>
      <c r="L1338" s="0" t="s">
        <v>32</v>
      </c>
      <c r="M1338" s="0" t="s">
        <v>61</v>
      </c>
      <c r="N1338" s="0" t="s">
        <v>32</v>
      </c>
      <c r="O1338" s="0" t="s">
        <v>35</v>
      </c>
      <c r="P1338" s="0" t="s">
        <v>527</v>
      </c>
      <c r="Q1338" s="0" t="s">
        <v>1432</v>
      </c>
      <c r="R1338" s="0" t="s">
        <v>4955</v>
      </c>
      <c r="S1338" s="0" t="s">
        <v>32</v>
      </c>
      <c r="T1338" s="0">
        <f>HYPERLINK("https://ec-qa-storage.kldlms.com/ItemVariation/08DD1468-2D09-4240-8773-C6AFDD9962D3/78F17E26-1296-425B-A4C4-BD0B2CB04A8F.webp","Variant Image")</f>
      </c>
      <c r="U1338" s="0">
        <f>HYPERLINK("https://ec-qa-storage.kldlms.com/Item/08DD1468-2D09-4240-8773-C6AFDD9962D3/652E23B3-157C-45D6-840A-8E3D96FDA5E8.webp","Thumbnail Image")</f>
      </c>
      <c r="V1338" s="0">
        <f>HYPERLINK("https://ec-qa-storage.kldlms.com/ItemGallery/08DD1468-2D09-4240-8773-C6AFDD9962D3/2B4F782D-48CE-45BF-A0DD-550FC04145D5.webp","Gallery Image ")</f>
      </c>
      <c r="W1338" s="0" t="s">
        <v>22</v>
      </c>
    </row>
    <row r="1339">
      <c r="A1339" s="0" t="s">
        <v>4194</v>
      </c>
      <c r="B1339" s="0" t="s">
        <v>4194</v>
      </c>
      <c r="C1339" s="0" t="s">
        <v>4195</v>
      </c>
      <c r="D1339" s="0" t="s">
        <v>27</v>
      </c>
      <c r="E1339" s="0" t="s">
        <v>3526</v>
      </c>
      <c r="F1339" s="0" t="s">
        <v>3137</v>
      </c>
      <c r="G1339" s="0" t="s">
        <v>4194</v>
      </c>
      <c r="H1339" s="0" t="s">
        <v>4194</v>
      </c>
      <c r="I1339" s="0" t="s">
        <v>4957</v>
      </c>
      <c r="J1339" s="0" t="s">
        <v>4957</v>
      </c>
      <c r="K1339" s="0" t="s">
        <v>4197</v>
      </c>
      <c r="L1339" s="0" t="s">
        <v>32</v>
      </c>
      <c r="M1339" s="0" t="s">
        <v>61</v>
      </c>
      <c r="N1339" s="0" t="s">
        <v>32</v>
      </c>
      <c r="O1339" s="0" t="s">
        <v>35</v>
      </c>
      <c r="P1339" s="0" t="s">
        <v>527</v>
      </c>
      <c r="Q1339" s="0" t="s">
        <v>4197</v>
      </c>
      <c r="R1339" s="0" t="s">
        <v>4195</v>
      </c>
      <c r="S1339" s="0" t="s">
        <v>32</v>
      </c>
      <c r="T1339" s="0">
        <f>HYPERLINK("https://ec-qa-storage.kldlms.com/ItemVariation/08DD1468-2D30-4C1D-8101-8B6D2ED71121/BADB115A-4919-4727-ABE7-E09303BC9989.jpg","Variant Image")</f>
      </c>
      <c r="U1339" s="0">
        <f>HYPERLINK("https://ec-qa-storage.kldlms.com/Item/08DD1468-2D30-4C1D-8101-8B6D2ED71121/DBC3C7B1-5B79-41B3-8953-C9284DE196EF.jpg","Thumbnail Image")</f>
      </c>
      <c r="V1339" s="0">
        <f>HYPERLINK("https://ec-qa-storage.kldlms.com/ItemGallery/08DD1468-2D30-4C1D-8101-8B6D2ED71121/979F1F14-C5AE-4E12-B5AC-066ED836BF0F.jpg","Gallery Image ")</f>
      </c>
      <c r="W1339" s="0" t="s">
        <v>22</v>
      </c>
    </row>
    <row r="1340">
      <c r="A1340" s="0" t="s">
        <v>4200</v>
      </c>
      <c r="B1340" s="0" t="s">
        <v>4200</v>
      </c>
      <c r="C1340" s="0" t="s">
        <v>4201</v>
      </c>
      <c r="D1340" s="0" t="s">
        <v>27</v>
      </c>
      <c r="E1340" s="0" t="s">
        <v>3526</v>
      </c>
      <c r="F1340" s="0" t="s">
        <v>3137</v>
      </c>
      <c r="G1340" s="0" t="s">
        <v>4200</v>
      </c>
      <c r="H1340" s="0" t="s">
        <v>4200</v>
      </c>
      <c r="I1340" s="0" t="s">
        <v>4958</v>
      </c>
      <c r="J1340" s="0" t="s">
        <v>4958</v>
      </c>
      <c r="K1340" s="0" t="s">
        <v>736</v>
      </c>
      <c r="L1340" s="0" t="s">
        <v>32</v>
      </c>
      <c r="M1340" s="0" t="s">
        <v>61</v>
      </c>
      <c r="N1340" s="0" t="s">
        <v>32</v>
      </c>
      <c r="O1340" s="0" t="s">
        <v>35</v>
      </c>
      <c r="P1340" s="0" t="s">
        <v>527</v>
      </c>
      <c r="Q1340" s="0" t="s">
        <v>736</v>
      </c>
      <c r="R1340" s="0" t="s">
        <v>4201</v>
      </c>
      <c r="S1340" s="0" t="s">
        <v>32</v>
      </c>
      <c r="T1340" s="0">
        <f>HYPERLINK("https://ec-qa-storage.kldlms.com/ItemVariation/08DD1468-2D43-434A-87C8-6295B1EC5F14/6EA17970-A28F-4B54-99EA-F3A7DF4754F5.webp","Variant Image")</f>
      </c>
      <c r="U1340" s="0">
        <f>HYPERLINK("https://ec-qa-storage.kldlms.com/Item/08DD1468-2D43-434A-87C8-6295B1EC5F14/A2B90DFE-8019-4344-96EC-5523EA1C40FF.webp","Thumbnail Image")</f>
      </c>
      <c r="V1340" s="0">
        <f>HYPERLINK("https://ec-qa-storage.kldlms.com/ItemGallery/08DD1468-2D43-434A-87C8-6295B1EC5F14/AEC38781-0EA0-453D-8CF6-4290E6A8503C.webp","Gallery Image ")</f>
      </c>
      <c r="W1340" s="0" t="s">
        <v>22</v>
      </c>
    </row>
    <row r="1341">
      <c r="A1341" s="0" t="s">
        <v>4203</v>
      </c>
      <c r="B1341" s="0" t="s">
        <v>4203</v>
      </c>
      <c r="C1341" s="0" t="s">
        <v>4204</v>
      </c>
      <c r="D1341" s="0" t="s">
        <v>27</v>
      </c>
      <c r="E1341" s="0" t="s">
        <v>3526</v>
      </c>
      <c r="F1341" s="0" t="s">
        <v>3137</v>
      </c>
      <c r="G1341" s="0" t="s">
        <v>4203</v>
      </c>
      <c r="H1341" s="0" t="s">
        <v>4203</v>
      </c>
      <c r="I1341" s="0" t="s">
        <v>4959</v>
      </c>
      <c r="J1341" s="0" t="s">
        <v>4959</v>
      </c>
      <c r="K1341" s="0" t="s">
        <v>4206</v>
      </c>
      <c r="L1341" s="0" t="s">
        <v>32</v>
      </c>
      <c r="M1341" s="0" t="s">
        <v>61</v>
      </c>
      <c r="N1341" s="0" t="s">
        <v>32</v>
      </c>
      <c r="O1341" s="0" t="s">
        <v>35</v>
      </c>
      <c r="P1341" s="0" t="s">
        <v>527</v>
      </c>
      <c r="Q1341" s="0" t="s">
        <v>4206</v>
      </c>
      <c r="R1341" s="0" t="s">
        <v>4204</v>
      </c>
      <c r="S1341" s="0" t="s">
        <v>32</v>
      </c>
      <c r="T1341" s="0">
        <f>HYPERLINK("https://ec-qa-storage.kldlms.com/ItemVariation/08DD1468-2D6C-464A-8088-8450C3640343/45E38B37-ABC8-480A-AB3E-BDBAD2D73630.jpg","Variant Image")</f>
      </c>
      <c r="U1341" s="0">
        <f>HYPERLINK("https://ec-qa-storage.kldlms.com/Item/08DD1468-2D6C-464A-8088-8450C3640343/9C9AC55C-4CC1-4B9A-A586-D773EB1EF22C.jpg","Thumbnail Image")</f>
      </c>
      <c r="V1341" s="0">
        <f>HYPERLINK("https://ec-qa-storage.kldlms.com/ItemGallery/08DD1468-2D6C-464A-8088-8450C3640343/AD3DC375-8256-4A2B-82EA-ACB9C05CEB65.jpg","Gallery Image ")</f>
      </c>
      <c r="W1341" s="0" t="s">
        <v>22</v>
      </c>
    </row>
    <row r="1342">
      <c r="A1342" s="0" t="s">
        <v>4212</v>
      </c>
      <c r="B1342" s="0" t="s">
        <v>4212</v>
      </c>
      <c r="C1342" s="0" t="s">
        <v>4213</v>
      </c>
      <c r="D1342" s="0" t="s">
        <v>27</v>
      </c>
      <c r="E1342" s="0" t="s">
        <v>3526</v>
      </c>
      <c r="F1342" s="0" t="s">
        <v>3137</v>
      </c>
      <c r="G1342" s="0" t="s">
        <v>4212</v>
      </c>
      <c r="H1342" s="0" t="s">
        <v>4212</v>
      </c>
      <c r="I1342" s="0" t="s">
        <v>4960</v>
      </c>
      <c r="J1342" s="0" t="s">
        <v>4960</v>
      </c>
      <c r="K1342" s="0" t="s">
        <v>4214</v>
      </c>
      <c r="L1342" s="0" t="s">
        <v>32</v>
      </c>
      <c r="M1342" s="0" t="s">
        <v>61</v>
      </c>
      <c r="N1342" s="0" t="s">
        <v>32</v>
      </c>
      <c r="O1342" s="0" t="s">
        <v>35</v>
      </c>
      <c r="P1342" s="0" t="s">
        <v>527</v>
      </c>
      <c r="Q1342" s="0" t="s">
        <v>4214</v>
      </c>
      <c r="R1342" s="0" t="s">
        <v>4213</v>
      </c>
      <c r="S1342" s="0" t="s">
        <v>32</v>
      </c>
      <c r="T1342" s="0">
        <f>HYPERLINK("https://ec-qa-storage.kldlms.com/ItemVariation/08DD1468-2D8B-4C38-8248-BC4880896B7B/7E4A0EB7-D310-41EE-81D5-7AE793A8E78A.jpg","Variant Image")</f>
      </c>
      <c r="U1342" s="0">
        <f>HYPERLINK("https://ec-qa-storage.kldlms.com/Item/08DD1468-2D8B-4C38-8248-BC4880896B7B/6BD52E6E-627D-486A-B9F0-AAB9BACD2B0B.jpg","Thumbnail Image")</f>
      </c>
      <c r="V1342" s="0">
        <f>HYPERLINK("https://ec-qa-storage.kldlms.com/ItemGallery/08DD1468-2D8B-4C38-8248-BC4880896B7B/A24B4FDA-3C44-4E9C-AB8B-DE492FBC363A.jpg","Gallery Image ")</f>
      </c>
      <c r="W1342" s="0" t="s">
        <v>22</v>
      </c>
    </row>
    <row r="1343">
      <c r="A1343" s="0" t="s">
        <v>4217</v>
      </c>
      <c r="B1343" s="0" t="s">
        <v>4217</v>
      </c>
      <c r="C1343" s="0" t="s">
        <v>4218</v>
      </c>
      <c r="D1343" s="0" t="s">
        <v>27</v>
      </c>
      <c r="E1343" s="0" t="s">
        <v>3526</v>
      </c>
      <c r="F1343" s="0" t="s">
        <v>3137</v>
      </c>
      <c r="G1343" s="0" t="s">
        <v>4217</v>
      </c>
      <c r="H1343" s="0" t="s">
        <v>4217</v>
      </c>
      <c r="I1343" s="0" t="s">
        <v>4961</v>
      </c>
      <c r="J1343" s="0" t="s">
        <v>4961</v>
      </c>
      <c r="K1343" s="0" t="s">
        <v>4220</v>
      </c>
      <c r="L1343" s="0" t="s">
        <v>32</v>
      </c>
      <c r="M1343" s="0" t="s">
        <v>61</v>
      </c>
      <c r="N1343" s="0" t="s">
        <v>32</v>
      </c>
      <c r="O1343" s="0" t="s">
        <v>35</v>
      </c>
      <c r="P1343" s="0" t="s">
        <v>527</v>
      </c>
      <c r="Q1343" s="0" t="s">
        <v>4220</v>
      </c>
      <c r="R1343" s="0" t="s">
        <v>4218</v>
      </c>
      <c r="S1343" s="0" t="s">
        <v>32</v>
      </c>
      <c r="T1343" s="0">
        <f>HYPERLINK("https://ec-qa-storage.kldlms.com/ItemVariation/08DD1468-2DC4-45DF-804D-FB8404B73F9D/9E4770E6-6F0D-4AD7-9DCB-5039F6FC4C2D.jpg","Variant Image")</f>
      </c>
      <c r="U1343" s="0">
        <f>HYPERLINK("https://ec-qa-storage.kldlms.com/Item/08DD1468-2DC4-45DF-804D-FB8404B73F9D/00ECAEB5-5E70-4CDE-BE6D-4E5DE4334015.jpg","Thumbnail Image")</f>
      </c>
      <c r="V1343" s="0">
        <f>HYPERLINK("https://ec-qa-storage.kldlms.com/ItemGallery/08DD1468-2DC4-45DF-804D-FB8404B73F9D/9209628E-0A5F-4FD4-85B0-7EBE62A76A7C.jpg","Gallery Image ")</f>
      </c>
      <c r="W1343" s="0" t="s">
        <v>22</v>
      </c>
    </row>
    <row r="1344">
      <c r="A1344" s="0" t="s">
        <v>4962</v>
      </c>
      <c r="B1344" s="0" t="s">
        <v>4962</v>
      </c>
      <c r="C1344" s="0" t="s">
        <v>4963</v>
      </c>
      <c r="D1344" s="0" t="s">
        <v>27</v>
      </c>
      <c r="E1344" s="0" t="s">
        <v>3526</v>
      </c>
      <c r="F1344" s="0" t="s">
        <v>3137</v>
      </c>
      <c r="G1344" s="0" t="s">
        <v>4962</v>
      </c>
      <c r="H1344" s="0" t="s">
        <v>4962</v>
      </c>
      <c r="I1344" s="0" t="s">
        <v>4964</v>
      </c>
      <c r="J1344" s="0" t="s">
        <v>4964</v>
      </c>
      <c r="K1344" s="0" t="s">
        <v>4172</v>
      </c>
      <c r="L1344" s="0" t="s">
        <v>32</v>
      </c>
      <c r="M1344" s="0" t="s">
        <v>61</v>
      </c>
      <c r="N1344" s="0" t="s">
        <v>32</v>
      </c>
      <c r="O1344" s="0" t="s">
        <v>35</v>
      </c>
      <c r="P1344" s="0" t="s">
        <v>527</v>
      </c>
      <c r="Q1344" s="0" t="s">
        <v>4172</v>
      </c>
      <c r="R1344" s="0" t="s">
        <v>4963</v>
      </c>
      <c r="S1344" s="0" t="s">
        <v>32</v>
      </c>
      <c r="T1344" s="0">
        <f>HYPERLINK("https://ec-qa-storage.kldlms.com/ItemVariation/08DD1468-2DE6-4AAB-8831-B5B3C7A38A36/3C477B31-88B1-422E-8156-4C30C901DDF6.jpg","Variant Image")</f>
      </c>
      <c r="U1344" s="0">
        <f>HYPERLINK("https://ec-qa-storage.kldlms.com/Item/08DD1468-2DE6-4AAB-8831-B5B3C7A38A36/444A7D0B-9845-4769-8B75-51F0A0D58569.jpg","Thumbnail Image")</f>
      </c>
      <c r="V1344" s="0">
        <f>HYPERLINK("https://ec-qa-storage.kldlms.com/ItemGallery/08DD1468-2DE6-4AAB-8831-B5B3C7A38A36/88539769-9013-40A2-8FE2-2E028D3B9FBF.jpg","Gallery Image ")</f>
      </c>
      <c r="W1344" s="0" t="s">
        <v>22</v>
      </c>
    </row>
    <row r="1345">
      <c r="A1345" s="0" t="s">
        <v>4200</v>
      </c>
      <c r="B1345" s="0" t="s">
        <v>4200</v>
      </c>
      <c r="C1345" s="0" t="s">
        <v>4226</v>
      </c>
      <c r="D1345" s="0" t="s">
        <v>27</v>
      </c>
      <c r="E1345" s="0" t="s">
        <v>3526</v>
      </c>
      <c r="F1345" s="0" t="s">
        <v>3137</v>
      </c>
      <c r="G1345" s="0" t="s">
        <v>4200</v>
      </c>
      <c r="H1345" s="0" t="s">
        <v>4200</v>
      </c>
      <c r="I1345" s="0" t="s">
        <v>4965</v>
      </c>
      <c r="J1345" s="0" t="s">
        <v>4965</v>
      </c>
      <c r="K1345" s="0" t="s">
        <v>2370</v>
      </c>
      <c r="L1345" s="0" t="s">
        <v>32</v>
      </c>
      <c r="M1345" s="0" t="s">
        <v>61</v>
      </c>
      <c r="N1345" s="0" t="s">
        <v>32</v>
      </c>
      <c r="O1345" s="0" t="s">
        <v>35</v>
      </c>
      <c r="P1345" s="0" t="s">
        <v>527</v>
      </c>
      <c r="Q1345" s="0" t="s">
        <v>2370</v>
      </c>
      <c r="R1345" s="0" t="s">
        <v>4226</v>
      </c>
      <c r="S1345" s="0" t="s">
        <v>32</v>
      </c>
      <c r="T1345" s="0">
        <f>HYPERLINK("https://ec-qa-storage.kldlms.com/ItemVariation/08DD1468-2E0C-45B4-8F3B-4E0ED9DFFB46/9488E93C-F20B-4821-9C24-1F674CC68E49.jpg","Variant Image")</f>
      </c>
      <c r="U1345" s="0">
        <f>HYPERLINK("https://ec-qa-storage.kldlms.com/Item/08DD1468-2E0C-45B4-8F3B-4E0ED9DFFB46/3115A313-1DE3-4CF4-A76D-BAD87B30C793.jpg","Thumbnail Image")</f>
      </c>
      <c r="V1345" s="0">
        <f>HYPERLINK("https://ec-qa-storage.kldlms.com/ItemGallery/08DD1468-2E0C-45B4-8F3B-4E0ED9DFFB46/35F6B215-4025-48D2-B5CA-EA3E3BEC28C9.jpg","Gallery Image ")</f>
      </c>
      <c r="W1345" s="0" t="s">
        <v>22</v>
      </c>
    </row>
    <row r="1346">
      <c r="P1346" s="0" t="s">
        <v>593</v>
      </c>
      <c r="Q1346" s="0" t="s">
        <v>2370</v>
      </c>
      <c r="R1346" s="0" t="s">
        <v>4229</v>
      </c>
      <c r="S1346" s="0" t="s">
        <v>32</v>
      </c>
      <c r="T1346" s="0">
        <f>HYPERLINK("https://ec-qa-storage.kldlms.com/ItemVariation/08DD1468-2E0C-45B4-8F3B-4E0ED9DFFB46/173F1D2A-6DD7-4933-8521-4514ED7D6254.jpg","Variant Image")</f>
      </c>
    </row>
    <row r="1347">
      <c r="A1347" s="0" t="s">
        <v>4200</v>
      </c>
      <c r="B1347" s="0" t="s">
        <v>4200</v>
      </c>
      <c r="C1347" s="0" t="s">
        <v>4232</v>
      </c>
      <c r="D1347" s="0" t="s">
        <v>27</v>
      </c>
      <c r="E1347" s="0" t="s">
        <v>3526</v>
      </c>
      <c r="F1347" s="0" t="s">
        <v>3137</v>
      </c>
      <c r="G1347" s="0" t="s">
        <v>4200</v>
      </c>
      <c r="H1347" s="0" t="s">
        <v>4200</v>
      </c>
      <c r="I1347" s="0" t="s">
        <v>4966</v>
      </c>
      <c r="J1347" s="0" t="s">
        <v>4966</v>
      </c>
      <c r="K1347" s="0" t="s">
        <v>4233</v>
      </c>
      <c r="L1347" s="0" t="s">
        <v>32</v>
      </c>
      <c r="M1347" s="0" t="s">
        <v>61</v>
      </c>
      <c r="N1347" s="0" t="s">
        <v>32</v>
      </c>
      <c r="O1347" s="0" t="s">
        <v>35</v>
      </c>
      <c r="P1347" s="0" t="s">
        <v>527</v>
      </c>
      <c r="Q1347" s="0" t="s">
        <v>4233</v>
      </c>
      <c r="R1347" s="0" t="s">
        <v>4232</v>
      </c>
      <c r="S1347" s="0" t="s">
        <v>32</v>
      </c>
      <c r="T1347" s="0">
        <f>HYPERLINK("https://ec-qa-storage.kldlms.com/ItemVariation/08DD1468-2E5E-4D2F-8C70-122EB1FD994B/B78150D1-33FE-4DB4-8447-9344BDF93A1F.webp","Variant Image")</f>
      </c>
      <c r="U1347" s="0">
        <f>HYPERLINK("https://ec-qa-storage.kldlms.com/Item/08DD1468-2E5E-4D2F-8C70-122EB1FD994B/B9011FA1-16A3-4791-B0FA-37434900E7F8.webp","Thumbnail Image")</f>
      </c>
      <c r="V1347" s="0">
        <f>HYPERLINK("https://ec-qa-storage.kldlms.com/ItemGallery/08DD1468-2E5E-4D2F-8C70-122EB1FD994B/3D3E3600-0E1B-4886-B7D2-E44644294624.jpg","Gallery Image ")</f>
      </c>
      <c r="W1347" s="0" t="s">
        <v>22</v>
      </c>
    </row>
    <row r="1348">
      <c r="A1348" s="0" t="s">
        <v>4236</v>
      </c>
      <c r="B1348" s="0" t="s">
        <v>4236</v>
      </c>
      <c r="C1348" s="0" t="s">
        <v>4237</v>
      </c>
      <c r="D1348" s="0" t="s">
        <v>27</v>
      </c>
      <c r="E1348" s="0" t="s">
        <v>3526</v>
      </c>
      <c r="F1348" s="0" t="s">
        <v>3137</v>
      </c>
      <c r="G1348" s="0" t="s">
        <v>4236</v>
      </c>
      <c r="H1348" s="0" t="s">
        <v>4236</v>
      </c>
      <c r="I1348" s="0" t="s">
        <v>4967</v>
      </c>
      <c r="J1348" s="0" t="s">
        <v>4967</v>
      </c>
      <c r="K1348" s="0" t="s">
        <v>3697</v>
      </c>
      <c r="L1348" s="0" t="s">
        <v>32</v>
      </c>
      <c r="M1348" s="0" t="s">
        <v>61</v>
      </c>
      <c r="N1348" s="0" t="s">
        <v>32</v>
      </c>
      <c r="O1348" s="0" t="s">
        <v>35</v>
      </c>
      <c r="P1348" s="0" t="s">
        <v>527</v>
      </c>
      <c r="Q1348" s="0" t="s">
        <v>3697</v>
      </c>
      <c r="R1348" s="0" t="s">
        <v>4237</v>
      </c>
      <c r="S1348" s="0" t="s">
        <v>32</v>
      </c>
      <c r="T1348" s="0">
        <f>HYPERLINK("https://ec-qa-storage.kldlms.com/ItemVariation/08DD1468-2E80-45D5-8C68-8F1A1ECB3AAC/4F3F9C46-52CE-4BC5-A763-6F5FE3D4DA48.jpg","Variant Image")</f>
      </c>
      <c r="U1348" s="0">
        <f>HYPERLINK("https://ec-qa-storage.kldlms.com/Item/08DD1468-2E80-45D5-8C68-8F1A1ECB3AAC/45A94407-C996-4363-BCCC-97E347B1CBB3.jpg","Thumbnail Image")</f>
      </c>
      <c r="V1348" s="0">
        <f>HYPERLINK("https://ec-qa-storage.kldlms.com/ItemGallery/08DD1468-2E80-45D5-8C68-8F1A1ECB3AAC/EFC95560-C08F-464E-B81E-202910DC2F94.jpg","Gallery Image ")</f>
      </c>
      <c r="W1348" s="0" t="s">
        <v>22</v>
      </c>
    </row>
    <row r="1349">
      <c r="A1349" s="0" t="s">
        <v>4968</v>
      </c>
      <c r="B1349" s="0" t="s">
        <v>4968</v>
      </c>
      <c r="C1349" s="0" t="s">
        <v>4969</v>
      </c>
      <c r="D1349" s="0" t="s">
        <v>27</v>
      </c>
      <c r="E1349" s="0" t="s">
        <v>3526</v>
      </c>
      <c r="F1349" s="0" t="s">
        <v>3137</v>
      </c>
      <c r="G1349" s="0" t="s">
        <v>4968</v>
      </c>
      <c r="H1349" s="0" t="s">
        <v>4968</v>
      </c>
      <c r="I1349" s="0" t="s">
        <v>4970</v>
      </c>
      <c r="J1349" s="0" t="s">
        <v>4970</v>
      </c>
      <c r="K1349" s="0" t="s">
        <v>3842</v>
      </c>
      <c r="L1349" s="0" t="s">
        <v>32</v>
      </c>
      <c r="M1349" s="0" t="s">
        <v>61</v>
      </c>
      <c r="N1349" s="0" t="s">
        <v>32</v>
      </c>
      <c r="O1349" s="0" t="s">
        <v>35</v>
      </c>
      <c r="P1349" s="0" t="s">
        <v>527</v>
      </c>
      <c r="Q1349" s="0" t="s">
        <v>3842</v>
      </c>
      <c r="R1349" s="0" t="s">
        <v>4969</v>
      </c>
      <c r="S1349" s="0" t="s">
        <v>32</v>
      </c>
      <c r="T1349" s="0">
        <f>HYPERLINK("https://ec-qa-storage.kldlms.com/ItemVariation/08DD1468-3079-4384-8B74-20E478148F8F/2C4A0362-9B7F-4D0B-9E95-B1CB44CFA652.jpg","Variant Image")</f>
      </c>
      <c r="U1349" s="0">
        <f>HYPERLINK("https://ec-qa-storage.kldlms.com/Item/08DD1468-3079-4384-8B74-20E478148F8F/10BF3EC6-AC56-4CD9-92A7-BE30F1BCC094.jpg","Thumbnail Image")</f>
      </c>
      <c r="V1349" s="0">
        <f>HYPERLINK("https://ec-qa-storage.kldlms.com/ItemGallery/08DD1468-3079-4384-8B74-20E478148F8F/35BFD392-2E36-4211-91AD-1F0D830A2773.jpg","Gallery Image ")</f>
      </c>
      <c r="W1349" s="0" t="s">
        <v>22</v>
      </c>
    </row>
    <row r="1350">
      <c r="A1350" s="0" t="s">
        <v>4971</v>
      </c>
      <c r="B1350" s="0" t="s">
        <v>4971</v>
      </c>
      <c r="C1350" s="0" t="s">
        <v>4972</v>
      </c>
      <c r="D1350" s="0" t="s">
        <v>27</v>
      </c>
      <c r="E1350" s="0" t="s">
        <v>3526</v>
      </c>
      <c r="F1350" s="0" t="s">
        <v>3137</v>
      </c>
      <c r="G1350" s="0" t="s">
        <v>4971</v>
      </c>
      <c r="H1350" s="0" t="s">
        <v>4971</v>
      </c>
      <c r="I1350" s="0" t="s">
        <v>4973</v>
      </c>
      <c r="J1350" s="0" t="s">
        <v>4973</v>
      </c>
      <c r="K1350" s="0" t="s">
        <v>4974</v>
      </c>
      <c r="L1350" s="0" t="s">
        <v>32</v>
      </c>
      <c r="M1350" s="0" t="s">
        <v>61</v>
      </c>
      <c r="N1350" s="0" t="s">
        <v>32</v>
      </c>
      <c r="O1350" s="0" t="s">
        <v>35</v>
      </c>
      <c r="P1350" s="0" t="s">
        <v>527</v>
      </c>
      <c r="Q1350" s="0" t="s">
        <v>4974</v>
      </c>
      <c r="R1350" s="0" t="s">
        <v>4972</v>
      </c>
      <c r="S1350" s="0" t="s">
        <v>32</v>
      </c>
      <c r="T1350" s="0">
        <f>HYPERLINK("https://ec-qa-storage.kldlms.com/ItemVariation/08DD1468-31AA-4A32-84B5-947E94637018/19D9F7AA-8BBA-473A-BA92-0AC2301B38FD.jpg","Variant Image")</f>
      </c>
      <c r="U1350" s="0">
        <f>HYPERLINK("https://ec-qa-storage.kldlms.com/Item/08DD1468-31AA-4A32-84B5-947E94637018/7AB7B772-8E21-40F0-96A9-BC643706E2F7.jpg","Thumbnail Image")</f>
      </c>
      <c r="V1350" s="0">
        <f>HYPERLINK("https://ec-qa-storage.kldlms.com/ItemGallery/08DD1468-31AA-4A32-84B5-947E94637018/90723A87-80F8-4D9D-9F69-2E0CCF555373.jpg","Gallery Image ")</f>
      </c>
      <c r="W1350" s="0" t="s">
        <v>22</v>
      </c>
    </row>
    <row r="1351">
      <c r="A1351" s="0" t="s">
        <v>4975</v>
      </c>
      <c r="B1351" s="0" t="s">
        <v>4975</v>
      </c>
      <c r="C1351" s="0" t="s">
        <v>4976</v>
      </c>
      <c r="D1351" s="0" t="s">
        <v>27</v>
      </c>
      <c r="E1351" s="0" t="s">
        <v>3526</v>
      </c>
      <c r="F1351" s="0" t="s">
        <v>3137</v>
      </c>
      <c r="G1351" s="0" t="s">
        <v>4975</v>
      </c>
      <c r="H1351" s="0" t="s">
        <v>4975</v>
      </c>
      <c r="I1351" s="0" t="s">
        <v>4977</v>
      </c>
      <c r="J1351" s="0" t="s">
        <v>4977</v>
      </c>
      <c r="K1351" s="0" t="s">
        <v>4978</v>
      </c>
      <c r="L1351" s="0" t="s">
        <v>32</v>
      </c>
      <c r="M1351" s="0" t="s">
        <v>61</v>
      </c>
      <c r="N1351" s="0" t="s">
        <v>32</v>
      </c>
      <c r="O1351" s="0" t="s">
        <v>35</v>
      </c>
      <c r="P1351" s="0" t="s">
        <v>527</v>
      </c>
      <c r="Q1351" s="0" t="s">
        <v>4978</v>
      </c>
      <c r="R1351" s="0" t="s">
        <v>4976</v>
      </c>
      <c r="S1351" s="0" t="s">
        <v>32</v>
      </c>
      <c r="T1351" s="0">
        <f>HYPERLINK("https://ec-qa-storage.kldlms.com/ItemVariation/08DD1468-325E-447C-8A59-26F50A00D225/8F0D35CE-BF09-4F56-9E2F-6B42797646F6.jpg","Variant Image")</f>
      </c>
      <c r="U1351" s="0">
        <f>HYPERLINK("https://ec-qa-storage.kldlms.com/Item/08DD1468-325E-447C-8A59-26F50A00D225/98BC3F19-6F1D-4D00-84B5-17CB68864EC1.jpg","Thumbnail Image")</f>
      </c>
      <c r="V1351" s="0">
        <f>HYPERLINK("https://ec-qa-storage.kldlms.com/ItemGallery/08DD1468-325E-447C-8A59-26F50A00D225/45FBAF4D-A058-48F5-AF38-67BE8807B0E1.jpg","Gallery Image ")</f>
      </c>
      <c r="W1351" s="0" t="s">
        <v>22</v>
      </c>
    </row>
    <row r="1352">
      <c r="A1352" s="0" t="s">
        <v>4979</v>
      </c>
      <c r="B1352" s="0" t="s">
        <v>4979</v>
      </c>
      <c r="C1352" s="0" t="s">
        <v>4980</v>
      </c>
      <c r="D1352" s="0" t="s">
        <v>27</v>
      </c>
      <c r="E1352" s="0" t="s">
        <v>3526</v>
      </c>
      <c r="F1352" s="0" t="s">
        <v>3137</v>
      </c>
      <c r="G1352" s="0" t="s">
        <v>4979</v>
      </c>
      <c r="H1352" s="0" t="s">
        <v>4979</v>
      </c>
      <c r="I1352" s="0" t="s">
        <v>4981</v>
      </c>
      <c r="J1352" s="0" t="s">
        <v>4981</v>
      </c>
      <c r="K1352" s="0" t="s">
        <v>4982</v>
      </c>
      <c r="L1352" s="0" t="s">
        <v>32</v>
      </c>
      <c r="M1352" s="0" t="s">
        <v>61</v>
      </c>
      <c r="N1352" s="0" t="s">
        <v>32</v>
      </c>
      <c r="O1352" s="0" t="s">
        <v>35</v>
      </c>
      <c r="P1352" s="0" t="s">
        <v>527</v>
      </c>
      <c r="Q1352" s="0" t="s">
        <v>4982</v>
      </c>
      <c r="R1352" s="0" t="s">
        <v>4980</v>
      </c>
      <c r="S1352" s="0" t="s">
        <v>32</v>
      </c>
      <c r="T1352" s="0">
        <f>HYPERLINK("https://ec-qa-storage.kldlms.com/ItemVariation/08DD1468-32FA-4C31-85D7-5E5C82B2AD09/E006E541-A3B5-4905-B7A2-70D58DEF933B.jpg","Variant Image")</f>
      </c>
      <c r="U1352" s="0">
        <f>HYPERLINK("https://ec-qa-storage.kldlms.com/Item/08DD1468-32FA-4C31-85D7-5E5C82B2AD09/CFB28881-8526-47A0-A8CD-1DD14F6C1F0E.jpg","Thumbnail Image")</f>
      </c>
      <c r="V1352" s="0">
        <f>HYPERLINK("https://ec-qa-storage.kldlms.com/ItemGallery/08DD1468-32FA-4C31-85D7-5E5C82B2AD09/252872C4-5364-43E2-9992-DE31C2D6D2B5.jpg","Gallery Image ")</f>
      </c>
      <c r="W1352" s="0" t="s">
        <v>22</v>
      </c>
    </row>
    <row r="1353">
      <c r="A1353" s="0" t="s">
        <v>4983</v>
      </c>
      <c r="B1353" s="0" t="s">
        <v>4983</v>
      </c>
      <c r="C1353" s="0" t="s">
        <v>4984</v>
      </c>
      <c r="D1353" s="0" t="s">
        <v>27</v>
      </c>
      <c r="E1353" s="0" t="s">
        <v>3526</v>
      </c>
      <c r="F1353" s="0" t="s">
        <v>3137</v>
      </c>
      <c r="G1353" s="0" t="s">
        <v>4983</v>
      </c>
      <c r="H1353" s="0" t="s">
        <v>4983</v>
      </c>
      <c r="I1353" s="0" t="s">
        <v>4985</v>
      </c>
      <c r="J1353" s="0" t="s">
        <v>4985</v>
      </c>
      <c r="K1353" s="0" t="s">
        <v>3122</v>
      </c>
      <c r="L1353" s="0" t="s">
        <v>32</v>
      </c>
      <c r="M1353" s="0" t="s">
        <v>61</v>
      </c>
      <c r="N1353" s="0" t="s">
        <v>32</v>
      </c>
      <c r="O1353" s="0" t="s">
        <v>35</v>
      </c>
      <c r="P1353" s="0" t="s">
        <v>527</v>
      </c>
      <c r="Q1353" s="0" t="s">
        <v>3122</v>
      </c>
      <c r="R1353" s="0" t="s">
        <v>4984</v>
      </c>
      <c r="S1353" s="0" t="s">
        <v>32</v>
      </c>
      <c r="T1353" s="0">
        <f>HYPERLINK("https://ec-qa-storage.kldlms.com/ItemVariation/08DD1468-3391-4445-8AD7-C7357C17A6CC/B0B1BFF3-DF7D-4100-B88C-E868F7FB6797.jpg","Variant Image")</f>
      </c>
      <c r="U1353" s="0">
        <f>HYPERLINK("https://ec-qa-storage.kldlms.com/Item/08DD1468-3391-4445-8AD7-C7357C17A6CC/709E2FA8-B684-4C36-921F-E3C0650BD8DA.jpg","Thumbnail Image")</f>
      </c>
      <c r="V1353" s="0">
        <f>HYPERLINK("https://ec-qa-storage.kldlms.com/ItemGallery/08DD1468-3391-4445-8AD7-C7357C17A6CC/1AE97BF0-9E0C-4898-980B-5BD6758A123A.jpg","Gallery Image ")</f>
      </c>
      <c r="W1353" s="0" t="s">
        <v>22</v>
      </c>
    </row>
    <row r="1354">
      <c r="A1354" s="0" t="s">
        <v>4986</v>
      </c>
      <c r="B1354" s="0" t="s">
        <v>4986</v>
      </c>
      <c r="C1354" s="0" t="s">
        <v>4987</v>
      </c>
      <c r="D1354" s="0" t="s">
        <v>27</v>
      </c>
      <c r="E1354" s="0" t="s">
        <v>3526</v>
      </c>
      <c r="F1354" s="0" t="s">
        <v>3137</v>
      </c>
      <c r="G1354" s="0" t="s">
        <v>4986</v>
      </c>
      <c r="H1354" s="0" t="s">
        <v>4986</v>
      </c>
      <c r="I1354" s="0" t="s">
        <v>4988</v>
      </c>
      <c r="J1354" s="0" t="s">
        <v>4988</v>
      </c>
      <c r="K1354" s="0" t="s">
        <v>3697</v>
      </c>
      <c r="L1354" s="0" t="s">
        <v>32</v>
      </c>
      <c r="M1354" s="0" t="s">
        <v>61</v>
      </c>
      <c r="N1354" s="0" t="s">
        <v>32</v>
      </c>
      <c r="O1354" s="0" t="s">
        <v>35</v>
      </c>
      <c r="P1354" s="0" t="s">
        <v>527</v>
      </c>
      <c r="Q1354" s="0" t="s">
        <v>3697</v>
      </c>
      <c r="R1354" s="0" t="s">
        <v>4987</v>
      </c>
      <c r="S1354" s="0" t="s">
        <v>32</v>
      </c>
      <c r="T1354" s="0">
        <f>HYPERLINK("https://ec-qa-storage.kldlms.com/ItemVariation/08DD1468-339D-43D8-8086-A300D124E41D/72FA1851-7BE0-4AEE-8ABB-0E462FE53976.jpg","Variant Image")</f>
      </c>
      <c r="U1354" s="0">
        <f>HYPERLINK("https://ec-qa-storage.kldlms.com/Item/08DD1468-339D-43D8-8086-A300D124E41D/8938173F-D4DA-4B3B-8B65-2E56A9212D3E.jpg","Thumbnail Image")</f>
      </c>
      <c r="V1354" s="0">
        <f>HYPERLINK("https://ec-qa-storage.kldlms.com/ItemGallery/08DD1468-339D-43D8-8086-A300D124E41D/273AAA9C-F9CA-407B-B1F3-EA59CE900611.jpg","Gallery Image ")</f>
      </c>
      <c r="W1354" s="0" t="s">
        <v>22</v>
      </c>
    </row>
    <row r="1355">
      <c r="A1355" s="0" t="s">
        <v>4989</v>
      </c>
      <c r="B1355" s="0" t="s">
        <v>4989</v>
      </c>
      <c r="C1355" s="0" t="s">
        <v>4990</v>
      </c>
      <c r="D1355" s="0" t="s">
        <v>27</v>
      </c>
      <c r="E1355" s="0" t="s">
        <v>3526</v>
      </c>
      <c r="F1355" s="0" t="s">
        <v>3137</v>
      </c>
      <c r="G1355" s="0" t="s">
        <v>4989</v>
      </c>
      <c r="H1355" s="0" t="s">
        <v>4989</v>
      </c>
      <c r="I1355" s="0" t="s">
        <v>4991</v>
      </c>
      <c r="J1355" s="0" t="s">
        <v>4991</v>
      </c>
      <c r="K1355" s="0" t="s">
        <v>3936</v>
      </c>
      <c r="L1355" s="0" t="s">
        <v>32</v>
      </c>
      <c r="M1355" s="0" t="s">
        <v>61</v>
      </c>
      <c r="N1355" s="0" t="s">
        <v>32</v>
      </c>
      <c r="O1355" s="0" t="s">
        <v>35</v>
      </c>
      <c r="P1355" s="0" t="s">
        <v>527</v>
      </c>
      <c r="Q1355" s="0" t="s">
        <v>3936</v>
      </c>
      <c r="R1355" s="0" t="s">
        <v>4990</v>
      </c>
      <c r="S1355" s="0" t="s">
        <v>32</v>
      </c>
      <c r="T1355" s="0">
        <f>HYPERLINK("https://ec-qa-storage.kldlms.com/ItemVariation/08DD1468-34FC-492A-85E6-BA80BDF6C940/7B97CE6A-83D7-4232-A9DC-324CECDE8C63.jpg","Variant Image")</f>
      </c>
      <c r="U1355" s="0">
        <f>HYPERLINK("https://ec-qa-storage.kldlms.com/Item/08DD1468-34FC-492A-85E6-BA80BDF6C940/D10854BC-A218-4A87-9458-96A78CB71D3C.jpg","Thumbnail Image")</f>
      </c>
      <c r="V1355" s="0">
        <f>HYPERLINK("https://ec-qa-storage.kldlms.com/ItemGallery/08DD1468-34FC-492A-85E6-BA80BDF6C940/9D5AAF32-D157-434D-AE6C-8243C96E9B43.jpg","Gallery Image ")</f>
      </c>
      <c r="W1355" s="0" t="s">
        <v>22</v>
      </c>
    </row>
    <row r="1356">
      <c r="A1356" s="0" t="s">
        <v>4992</v>
      </c>
      <c r="B1356" s="0" t="s">
        <v>1607</v>
      </c>
      <c r="C1356" s="0" t="s">
        <v>4993</v>
      </c>
      <c r="D1356" s="0" t="s">
        <v>27</v>
      </c>
      <c r="E1356" s="0" t="s">
        <v>3526</v>
      </c>
      <c r="F1356" s="0" t="s">
        <v>3137</v>
      </c>
      <c r="G1356" s="0" t="s">
        <v>4992</v>
      </c>
      <c r="H1356" s="0" t="s">
        <v>4992</v>
      </c>
      <c r="I1356" s="0" t="s">
        <v>4994</v>
      </c>
      <c r="J1356" s="0" t="s">
        <v>4994</v>
      </c>
      <c r="K1356" s="0" t="s">
        <v>4995</v>
      </c>
      <c r="L1356" s="0" t="s">
        <v>32</v>
      </c>
      <c r="M1356" s="0" t="s">
        <v>61</v>
      </c>
      <c r="N1356" s="0" t="s">
        <v>32</v>
      </c>
      <c r="O1356" s="0" t="s">
        <v>35</v>
      </c>
      <c r="P1356" s="0" t="s">
        <v>527</v>
      </c>
      <c r="Q1356" s="0" t="s">
        <v>4995</v>
      </c>
      <c r="R1356" s="0" t="s">
        <v>4993</v>
      </c>
      <c r="S1356" s="0" t="s">
        <v>32</v>
      </c>
      <c r="T1356" s="0">
        <f>HYPERLINK("https://ec-qa-storage.kldlms.com/ItemVariation/08DD1468-362B-44D3-8661-A3A7A6FD034D/3CCB18A5-8A54-4ACC-A8F5-2D04DA04FAAA.jpg","Variant Image")</f>
      </c>
      <c r="U1356" s="0">
        <f>HYPERLINK("https://ec-qa-storage.kldlms.com/Item/08DD1468-362B-44D3-8661-A3A7A6FD034D/C74E10AC-42A1-492D-BEA0-48112C51DF9F.jpg","Thumbnail Image")</f>
      </c>
      <c r="V1356" s="0">
        <f>HYPERLINK("https://ec-qa-storage.kldlms.com/ItemGallery/08DD1468-362B-44D3-8661-A3A7A6FD034D/156A0FE8-0D94-4650-B495-60FD60A9E035.jpg","Gallery Image ")</f>
      </c>
      <c r="W1356" s="0" t="s">
        <v>22</v>
      </c>
      <c r="X1356" s="0" t="s">
        <v>4905</v>
      </c>
    </row>
    <row r="1357">
      <c r="A1357" s="0" t="s">
        <v>4996</v>
      </c>
      <c r="B1357" s="0" t="s">
        <v>4996</v>
      </c>
      <c r="C1357" s="0" t="s">
        <v>4997</v>
      </c>
      <c r="D1357" s="0" t="s">
        <v>27</v>
      </c>
      <c r="E1357" s="0" t="s">
        <v>3526</v>
      </c>
      <c r="F1357" s="0" t="s">
        <v>3137</v>
      </c>
      <c r="G1357" s="0" t="s">
        <v>4996</v>
      </c>
      <c r="H1357" s="0" t="s">
        <v>4996</v>
      </c>
      <c r="I1357" s="0" t="s">
        <v>4998</v>
      </c>
      <c r="J1357" s="0" t="s">
        <v>4998</v>
      </c>
      <c r="K1357" s="0" t="s">
        <v>3601</v>
      </c>
      <c r="L1357" s="0" t="s">
        <v>32</v>
      </c>
      <c r="M1357" s="0" t="s">
        <v>61</v>
      </c>
      <c r="N1357" s="0" t="s">
        <v>32</v>
      </c>
      <c r="O1357" s="0" t="s">
        <v>35</v>
      </c>
      <c r="P1357" s="0" t="s">
        <v>527</v>
      </c>
      <c r="Q1357" s="0" t="s">
        <v>3601</v>
      </c>
      <c r="R1357" s="0" t="s">
        <v>4997</v>
      </c>
      <c r="S1357" s="0" t="s">
        <v>32</v>
      </c>
      <c r="T1357" s="0">
        <f>HYPERLINK("https://ec-qa-storage.kldlms.com/ItemVariation/08DD1468-3E7A-4A12-80CA-D2588EEA8E1D/F39EC76D-160A-4E12-8122-BE10D39F40FA.jpg","Variant Image")</f>
      </c>
      <c r="U1357" s="0">
        <f>HYPERLINK("https://ec-qa-storage.kldlms.com/Item/08DD1468-3E7A-4A12-80CA-D2588EEA8E1D/645FEBA7-D132-487F-9C89-1A46B7483D79.jpg","Thumbnail Image")</f>
      </c>
      <c r="V1357" s="0">
        <f>HYPERLINK("https://ec-qa-storage.kldlms.com/ItemGallery/08DD1468-3E7A-4A12-80CA-D2588EEA8E1D/C4E2D9D7-68B8-4D12-9B73-A58436BF7933.jpg","Gallery Image ")</f>
      </c>
      <c r="W1357" s="0" t="s">
        <v>22</v>
      </c>
    </row>
    <row r="1358">
      <c r="A1358" s="0" t="s">
        <v>4999</v>
      </c>
      <c r="B1358" s="0" t="s">
        <v>4999</v>
      </c>
      <c r="C1358" s="0" t="s">
        <v>5000</v>
      </c>
      <c r="D1358" s="0" t="s">
        <v>27</v>
      </c>
      <c r="E1358" s="0" t="s">
        <v>3526</v>
      </c>
      <c r="F1358" s="0" t="s">
        <v>3137</v>
      </c>
      <c r="G1358" s="0" t="s">
        <v>4999</v>
      </c>
      <c r="H1358" s="0" t="s">
        <v>4999</v>
      </c>
      <c r="I1358" s="0" t="s">
        <v>5001</v>
      </c>
      <c r="J1358" s="0" t="s">
        <v>5001</v>
      </c>
      <c r="K1358" s="0" t="s">
        <v>3686</v>
      </c>
      <c r="L1358" s="0" t="s">
        <v>32</v>
      </c>
      <c r="M1358" s="0" t="s">
        <v>61</v>
      </c>
      <c r="N1358" s="0" t="s">
        <v>32</v>
      </c>
      <c r="O1358" s="0" t="s">
        <v>35</v>
      </c>
      <c r="P1358" s="0" t="s">
        <v>527</v>
      </c>
      <c r="Q1358" s="0" t="s">
        <v>3686</v>
      </c>
      <c r="R1358" s="0" t="s">
        <v>5000</v>
      </c>
      <c r="S1358" s="0" t="s">
        <v>32</v>
      </c>
      <c r="T1358" s="0">
        <f>HYPERLINK("https://ec-qa-storage.kldlms.com/ItemVariation/08DD1468-3E96-485C-8510-6D9D14BC86E3/875DBD8B-E812-4068-A680-4D05C1ACDB9D.png","Variant Image")</f>
      </c>
      <c r="U1358" s="0">
        <f>HYPERLINK("https://ec-qa-storage.kldlms.com/Item/08DD1468-3E96-485C-8510-6D9D14BC86E3/D62A1D86-C2A5-4D95-BA99-9D12F42A6480.png","Thumbnail Image")</f>
      </c>
      <c r="V1358" s="0">
        <f>HYPERLINK("https://ec-qa-storage.kldlms.com/ItemGallery/08DD1468-3E96-485C-8510-6D9D14BC86E3/FCF19F52-DF02-417F-98E6-6BF4590FB3BA.png","Gallery Image ")</f>
      </c>
      <c r="W1358" s="0" t="s">
        <v>22</v>
      </c>
    </row>
    <row r="1359">
      <c r="A1359" s="0" t="s">
        <v>5002</v>
      </c>
      <c r="B1359" s="0" t="s">
        <v>5002</v>
      </c>
      <c r="C1359" s="0" t="s">
        <v>5003</v>
      </c>
      <c r="D1359" s="0" t="s">
        <v>27</v>
      </c>
      <c r="E1359" s="0" t="s">
        <v>3526</v>
      </c>
      <c r="F1359" s="0" t="s">
        <v>3137</v>
      </c>
      <c r="G1359" s="0" t="s">
        <v>5002</v>
      </c>
      <c r="H1359" s="0" t="s">
        <v>5002</v>
      </c>
      <c r="I1359" s="0" t="s">
        <v>5004</v>
      </c>
      <c r="J1359" s="0" t="s">
        <v>5004</v>
      </c>
      <c r="K1359" s="0" t="s">
        <v>3842</v>
      </c>
      <c r="L1359" s="0" t="s">
        <v>32</v>
      </c>
      <c r="M1359" s="0" t="s">
        <v>61</v>
      </c>
      <c r="N1359" s="0" t="s">
        <v>32</v>
      </c>
      <c r="O1359" s="0" t="s">
        <v>35</v>
      </c>
      <c r="P1359" s="0" t="s">
        <v>527</v>
      </c>
      <c r="Q1359" s="0" t="s">
        <v>3842</v>
      </c>
      <c r="R1359" s="0" t="s">
        <v>5003</v>
      </c>
      <c r="S1359" s="0" t="s">
        <v>32</v>
      </c>
      <c r="T1359" s="0">
        <f>HYPERLINK("https://ec-qa-storage.kldlms.com/ItemVariation/08DD1468-3EB3-4D2D-8782-C22D68E2EAE9/6E39B942-E90E-4DD9-90BD-3922A313CF7C.png","Variant Image")</f>
      </c>
      <c r="U1359" s="0">
        <f>HYPERLINK("https://ec-qa-storage.kldlms.com/Item/08DD1468-3EB3-4D2D-8782-C22D68E2EAE9/6166006A-C50B-4864-9321-DC4D9EFF9B3E.png","Thumbnail Image")</f>
      </c>
      <c r="V1359" s="0">
        <f>HYPERLINK("https://ec-qa-storage.kldlms.com/ItemGallery/08DD1468-3EB3-4D2D-8782-C22D68E2EAE9/CE93C799-0C72-4F70-8918-470A36653599.png","Gallery Image ")</f>
      </c>
      <c r="W1359" s="0" t="s">
        <v>22</v>
      </c>
    </row>
    <row r="1360">
      <c r="A1360" s="0" t="s">
        <v>5005</v>
      </c>
      <c r="B1360" s="0" t="s">
        <v>5005</v>
      </c>
      <c r="C1360" s="0" t="s">
        <v>5006</v>
      </c>
      <c r="D1360" s="0" t="s">
        <v>27</v>
      </c>
      <c r="E1360" s="0" t="s">
        <v>3526</v>
      </c>
      <c r="F1360" s="0" t="s">
        <v>3137</v>
      </c>
      <c r="G1360" s="0" t="s">
        <v>5005</v>
      </c>
      <c r="H1360" s="0" t="s">
        <v>5005</v>
      </c>
      <c r="I1360" s="0" t="s">
        <v>5007</v>
      </c>
      <c r="J1360" s="0" t="s">
        <v>5007</v>
      </c>
      <c r="K1360" s="0" t="s">
        <v>2234</v>
      </c>
      <c r="L1360" s="0" t="s">
        <v>32</v>
      </c>
      <c r="M1360" s="0" t="s">
        <v>61</v>
      </c>
      <c r="N1360" s="0" t="s">
        <v>32</v>
      </c>
      <c r="O1360" s="0" t="s">
        <v>35</v>
      </c>
      <c r="P1360" s="0" t="s">
        <v>527</v>
      </c>
      <c r="Q1360" s="0" t="s">
        <v>2234</v>
      </c>
      <c r="R1360" s="0" t="s">
        <v>5006</v>
      </c>
      <c r="S1360" s="0" t="s">
        <v>32</v>
      </c>
      <c r="T1360" s="0">
        <f>HYPERLINK("https://ec-qa-storage.kldlms.com/ItemVariation/08DD1468-3EBE-4D64-8F3F-5A9E140FC932/37EFEE86-59FD-48B2-A686-18A79FBCAD5A.jpg","Variant Image")</f>
      </c>
      <c r="U1360" s="0">
        <f>HYPERLINK("https://ec-qa-storage.kldlms.com/Item/08DD1468-3EBE-4D64-8F3F-5A9E140FC932/F7540E52-0723-4E07-8C4A-2F1A45398D52.jpg","Thumbnail Image")</f>
      </c>
      <c r="V1360" s="0">
        <f>HYPERLINK("https://ec-qa-storage.kldlms.com/ItemGallery/08DD1468-3EBE-4D64-8F3F-5A9E140FC932/53695201-489E-4827-8342-F489552CA955.jpg","Gallery Image ")</f>
      </c>
      <c r="W1360" s="0" t="s">
        <v>22</v>
      </c>
    </row>
    <row r="1361">
      <c r="A1361" s="0" t="s">
        <v>5008</v>
      </c>
      <c r="B1361" s="0" t="s">
        <v>5008</v>
      </c>
      <c r="C1361" s="0" t="s">
        <v>5009</v>
      </c>
      <c r="D1361" s="0" t="s">
        <v>27</v>
      </c>
      <c r="E1361" s="0" t="s">
        <v>3526</v>
      </c>
      <c r="F1361" s="0" t="s">
        <v>3137</v>
      </c>
      <c r="G1361" s="0" t="s">
        <v>5008</v>
      </c>
      <c r="H1361" s="0" t="s">
        <v>5008</v>
      </c>
      <c r="I1361" s="0" t="s">
        <v>5010</v>
      </c>
      <c r="J1361" s="0" t="s">
        <v>5010</v>
      </c>
      <c r="K1361" s="0" t="s">
        <v>2370</v>
      </c>
      <c r="L1361" s="0" t="s">
        <v>32</v>
      </c>
      <c r="M1361" s="0" t="s">
        <v>61</v>
      </c>
      <c r="N1361" s="0" t="s">
        <v>32</v>
      </c>
      <c r="O1361" s="0" t="s">
        <v>35</v>
      </c>
      <c r="P1361" s="0" t="s">
        <v>527</v>
      </c>
      <c r="Q1361" s="0" t="s">
        <v>2370</v>
      </c>
      <c r="R1361" s="0" t="s">
        <v>5009</v>
      </c>
      <c r="S1361" s="0" t="s">
        <v>32</v>
      </c>
      <c r="T1361" s="0">
        <f>HYPERLINK("https://ec-qa-storage.kldlms.com/ItemVariation/08DD1468-3F28-4FFB-8258-3D3E4E483D7B/DAAC45A5-0CA2-4B6E-9DBA-101FB4FAB71C.png","Variant Image")</f>
      </c>
      <c r="U1361" s="0">
        <f>HYPERLINK("https://ec-qa-storage.kldlms.com/Item/08DD1468-3F28-4FFB-8258-3D3E4E483D7B/6376029D-BF77-451E-AC6D-87F01F402856.png","Thumbnail Image")</f>
      </c>
      <c r="V1361" s="0">
        <f>HYPERLINK("https://ec-qa-storage.kldlms.com/ItemGallery/08DD1468-3F28-4FFB-8258-3D3E4E483D7B/DE15F3D1-5177-4959-A180-432498BBB8D0.png","Gallery Image ")</f>
      </c>
      <c r="W1361" s="0" t="s">
        <v>22</v>
      </c>
    </row>
    <row r="1362">
      <c r="A1362" s="0" t="s">
        <v>5011</v>
      </c>
      <c r="B1362" s="0" t="s">
        <v>5011</v>
      </c>
      <c r="C1362" s="0" t="s">
        <v>5012</v>
      </c>
      <c r="D1362" s="0" t="s">
        <v>27</v>
      </c>
      <c r="E1362" s="0" t="s">
        <v>3526</v>
      </c>
      <c r="F1362" s="0" t="s">
        <v>3137</v>
      </c>
      <c r="G1362" s="0" t="s">
        <v>5011</v>
      </c>
      <c r="H1362" s="0" t="s">
        <v>5011</v>
      </c>
      <c r="I1362" s="0" t="s">
        <v>5013</v>
      </c>
      <c r="J1362" s="0" t="s">
        <v>5013</v>
      </c>
      <c r="K1362" s="0" t="s">
        <v>5014</v>
      </c>
      <c r="L1362" s="0" t="s">
        <v>32</v>
      </c>
      <c r="M1362" s="0" t="s">
        <v>61</v>
      </c>
      <c r="N1362" s="0" t="s">
        <v>32</v>
      </c>
      <c r="O1362" s="0" t="s">
        <v>35</v>
      </c>
      <c r="P1362" s="0" t="s">
        <v>527</v>
      </c>
      <c r="Q1362" s="0" t="s">
        <v>5014</v>
      </c>
      <c r="R1362" s="0" t="s">
        <v>5012</v>
      </c>
      <c r="S1362" s="0" t="s">
        <v>32</v>
      </c>
      <c r="T1362" s="0">
        <f>HYPERLINK("https://ec-qa-storage.kldlms.com/ItemVariation/08DD1468-3F47-4457-8FA7-A765C085F354/059F9872-F604-447C-B49A-F1081B395433.jpg","Variant Image")</f>
      </c>
      <c r="U1362" s="0">
        <f>HYPERLINK("https://ec-qa-storage.kldlms.com/Item/08DD1468-3F47-4457-8FA7-A765C085F354/964D8AA9-9FBF-4FB0-885D-D05286751193.jpg","Thumbnail Image")</f>
      </c>
      <c r="V1362" s="0">
        <f>HYPERLINK("https://ec-qa-storage.kldlms.com/ItemGallery/08DD1468-3F47-4457-8FA7-A765C085F354/21034E22-B673-4911-AFEB-418F6D52E0E5.jpg","Gallery Image ")</f>
      </c>
      <c r="W1362" s="0" t="s">
        <v>22</v>
      </c>
    </row>
    <row r="1363">
      <c r="A1363" s="0" t="s">
        <v>5015</v>
      </c>
      <c r="B1363" s="0" t="s">
        <v>5015</v>
      </c>
      <c r="C1363" s="0" t="s">
        <v>5016</v>
      </c>
      <c r="D1363" s="0" t="s">
        <v>27</v>
      </c>
      <c r="E1363" s="0" t="s">
        <v>3526</v>
      </c>
      <c r="F1363" s="0" t="s">
        <v>3137</v>
      </c>
      <c r="G1363" s="0" t="s">
        <v>5015</v>
      </c>
      <c r="H1363" s="0" t="s">
        <v>5015</v>
      </c>
      <c r="I1363" s="0" t="s">
        <v>5017</v>
      </c>
      <c r="J1363" s="0" t="s">
        <v>5017</v>
      </c>
      <c r="K1363" s="0" t="s">
        <v>5018</v>
      </c>
      <c r="L1363" s="0" t="s">
        <v>32</v>
      </c>
      <c r="M1363" s="0" t="s">
        <v>61</v>
      </c>
      <c r="N1363" s="0" t="s">
        <v>32</v>
      </c>
      <c r="O1363" s="0" t="s">
        <v>35</v>
      </c>
      <c r="P1363" s="0" t="s">
        <v>527</v>
      </c>
      <c r="Q1363" s="0" t="s">
        <v>5018</v>
      </c>
      <c r="R1363" s="0" t="s">
        <v>5016</v>
      </c>
      <c r="S1363" s="0" t="s">
        <v>32</v>
      </c>
      <c r="T1363" s="0">
        <f>HYPERLINK("https://ec-qa-storage.kldlms.com/ItemVariation/08DD1468-3FF5-48BA-834E-7BAA5639710C/42C43A78-48BE-4CAC-831F-85D30D54D3FD.png","Variant Image")</f>
      </c>
      <c r="U1363" s="0">
        <f>HYPERLINK("https://ec-qa-storage.kldlms.com/Item/08DD1468-3FF5-48BA-834E-7BAA5639710C/A6210B5E-52A3-4433-95BB-CD4EE1E0E017.png","Thumbnail Image")</f>
      </c>
      <c r="V1363" s="0">
        <f>HYPERLINK("https://ec-qa-storage.kldlms.com/ItemGallery/08DD1468-3FF5-48BA-834E-7BAA5639710C/188049B0-47F5-483D-ABFE-A0612D49631A.png","Gallery Image ")</f>
      </c>
      <c r="W1363" s="0" t="s">
        <v>22</v>
      </c>
    </row>
    <row r="1364">
      <c r="A1364" s="0" t="s">
        <v>4272</v>
      </c>
      <c r="B1364" s="0" t="s">
        <v>4272</v>
      </c>
      <c r="C1364" s="0" t="s">
        <v>5019</v>
      </c>
      <c r="D1364" s="0" t="s">
        <v>27</v>
      </c>
      <c r="E1364" s="0" t="s">
        <v>3526</v>
      </c>
      <c r="F1364" s="0" t="s">
        <v>3137</v>
      </c>
      <c r="G1364" s="0" t="s">
        <v>4272</v>
      </c>
      <c r="H1364" s="0" t="s">
        <v>4272</v>
      </c>
      <c r="I1364" s="0" t="s">
        <v>5020</v>
      </c>
      <c r="J1364" s="0" t="s">
        <v>5020</v>
      </c>
      <c r="K1364" s="0" t="s">
        <v>559</v>
      </c>
      <c r="L1364" s="0" t="s">
        <v>32</v>
      </c>
      <c r="M1364" s="0" t="s">
        <v>61</v>
      </c>
      <c r="N1364" s="0" t="s">
        <v>32</v>
      </c>
      <c r="O1364" s="0" t="s">
        <v>35</v>
      </c>
      <c r="P1364" s="0" t="s">
        <v>527</v>
      </c>
      <c r="Q1364" s="0" t="s">
        <v>559</v>
      </c>
      <c r="R1364" s="0" t="s">
        <v>5019</v>
      </c>
      <c r="S1364" s="0" t="s">
        <v>32</v>
      </c>
      <c r="T1364" s="0">
        <f>HYPERLINK("https://ec-qa-storage.kldlms.com/ItemVariation/08DD1468-4004-4968-8D1B-C154639F5A71/5D21EA41-DE0C-4E27-A28B-5AAFC7AA59F4.jpg","Variant Image")</f>
      </c>
      <c r="U1364" s="0">
        <f>HYPERLINK("https://ec-qa-storage.kldlms.com/Item/08DD1468-4004-4968-8D1B-C154639F5A71/0819F5E6-BD7A-49A2-8337-18EA35B23405.jpg","Thumbnail Image")</f>
      </c>
      <c r="V1364" s="0">
        <f>HYPERLINK("https://ec-qa-storage.kldlms.com/ItemGallery/08DD1468-4004-4968-8D1B-C154639F5A71/B8557406-591E-4E0E-8A8F-FF95BB8EAFB5.jpg","Gallery Image ")</f>
      </c>
      <c r="W1364" s="0" t="s">
        <v>22</v>
      </c>
    </row>
    <row r="1365">
      <c r="A1365" s="0" t="s">
        <v>5021</v>
      </c>
      <c r="B1365" s="0" t="s">
        <v>5021</v>
      </c>
      <c r="C1365" s="0" t="s">
        <v>5022</v>
      </c>
      <c r="D1365" s="0" t="s">
        <v>27</v>
      </c>
      <c r="E1365" s="0" t="s">
        <v>3526</v>
      </c>
      <c r="F1365" s="0" t="s">
        <v>3137</v>
      </c>
      <c r="G1365" s="0" t="s">
        <v>5021</v>
      </c>
      <c r="H1365" s="0" t="s">
        <v>5021</v>
      </c>
      <c r="I1365" s="0" t="s">
        <v>5023</v>
      </c>
      <c r="J1365" s="0" t="s">
        <v>5023</v>
      </c>
      <c r="K1365" s="0" t="s">
        <v>1670</v>
      </c>
      <c r="L1365" s="0" t="s">
        <v>32</v>
      </c>
      <c r="M1365" s="0" t="s">
        <v>61</v>
      </c>
      <c r="N1365" s="0" t="s">
        <v>32</v>
      </c>
      <c r="O1365" s="0" t="s">
        <v>35</v>
      </c>
      <c r="P1365" s="0" t="s">
        <v>527</v>
      </c>
      <c r="Q1365" s="0" t="s">
        <v>1670</v>
      </c>
      <c r="R1365" s="0" t="s">
        <v>5022</v>
      </c>
      <c r="S1365" s="0" t="s">
        <v>32</v>
      </c>
      <c r="T1365" s="0">
        <f>HYPERLINK("https://ec-qa-storage.kldlms.com/ItemVariation/08DD1468-4019-49BB-8C6A-14EE7802141C/D56812E8-EC4A-45CB-9253-49BC451BB623.jpg","Variant Image")</f>
      </c>
      <c r="U1365" s="0">
        <f>HYPERLINK("https://ec-qa-storage.kldlms.com/Item/08DD1468-4019-49BB-8C6A-14EE7802141C/8AC049AA-FE65-429F-9426-53DE49EDD7EE.jpg","Thumbnail Image")</f>
      </c>
      <c r="V1365" s="0">
        <f>HYPERLINK("https://ec-qa-storage.kldlms.com/ItemGallery/08DD1468-4019-49BB-8C6A-14EE7802141C/CB612A7C-78FE-4945-9BFA-820EA028E47F.jpg","Gallery Image ")</f>
      </c>
      <c r="W1365" s="0" t="s">
        <v>22</v>
      </c>
    </row>
    <row r="1366">
      <c r="A1366" s="0" t="s">
        <v>5024</v>
      </c>
      <c r="B1366" s="0" t="s">
        <v>5024</v>
      </c>
      <c r="C1366" s="0" t="s">
        <v>5025</v>
      </c>
      <c r="D1366" s="0" t="s">
        <v>27</v>
      </c>
      <c r="E1366" s="0" t="s">
        <v>3526</v>
      </c>
      <c r="F1366" s="0" t="s">
        <v>3137</v>
      </c>
      <c r="G1366" s="0" t="s">
        <v>5024</v>
      </c>
      <c r="H1366" s="0" t="s">
        <v>5024</v>
      </c>
      <c r="I1366" s="0" t="s">
        <v>5026</v>
      </c>
      <c r="J1366" s="0" t="s">
        <v>5026</v>
      </c>
      <c r="K1366" s="0" t="s">
        <v>4918</v>
      </c>
      <c r="L1366" s="0" t="s">
        <v>32</v>
      </c>
      <c r="M1366" s="0" t="s">
        <v>61</v>
      </c>
      <c r="N1366" s="0" t="s">
        <v>32</v>
      </c>
      <c r="O1366" s="0" t="s">
        <v>35</v>
      </c>
      <c r="P1366" s="0" t="s">
        <v>527</v>
      </c>
      <c r="Q1366" s="0" t="s">
        <v>4918</v>
      </c>
      <c r="R1366" s="0" t="s">
        <v>5025</v>
      </c>
      <c r="S1366" s="0" t="s">
        <v>32</v>
      </c>
      <c r="T1366" s="0">
        <f>HYPERLINK("https://ec-qa-storage.kldlms.com/ItemVariation/08DD1468-402E-44F4-8CD2-8F95EED8F96A/1BA32B9E-C55D-416D-87E3-72578A5CABEC.png","Variant Image")</f>
      </c>
      <c r="U1366" s="0">
        <f>HYPERLINK("https://ec-qa-storage.kldlms.com/Item/08DD1468-402E-44F4-8CD2-8F95EED8F96A/31C871CE-471A-4D51-9B8B-129F8AAB485C.png","Thumbnail Image")</f>
      </c>
      <c r="V1366" s="0">
        <f>HYPERLINK("https://ec-qa-storage.kldlms.com/ItemGallery/08DD1468-402E-44F4-8CD2-8F95EED8F96A/63463A8D-B267-4FB9-8841-3D5040B1BA35.png","Gallery Image ")</f>
      </c>
      <c r="W1366" s="0" t="s">
        <v>22</v>
      </c>
    </row>
    <row r="1367">
      <c r="A1367" s="0" t="s">
        <v>5027</v>
      </c>
      <c r="B1367" s="0" t="s">
        <v>5027</v>
      </c>
      <c r="C1367" s="0" t="s">
        <v>5028</v>
      </c>
      <c r="D1367" s="0" t="s">
        <v>27</v>
      </c>
      <c r="E1367" s="0" t="s">
        <v>3526</v>
      </c>
      <c r="F1367" s="0" t="s">
        <v>3137</v>
      </c>
      <c r="G1367" s="0" t="s">
        <v>5027</v>
      </c>
      <c r="H1367" s="0" t="s">
        <v>5027</v>
      </c>
      <c r="I1367" s="0" t="s">
        <v>5029</v>
      </c>
      <c r="J1367" s="0" t="s">
        <v>5029</v>
      </c>
      <c r="K1367" s="0" t="s">
        <v>5030</v>
      </c>
      <c r="L1367" s="0" t="s">
        <v>32</v>
      </c>
      <c r="M1367" s="0" t="s">
        <v>61</v>
      </c>
      <c r="N1367" s="0" t="s">
        <v>32</v>
      </c>
      <c r="O1367" s="0" t="s">
        <v>35</v>
      </c>
      <c r="P1367" s="0" t="s">
        <v>527</v>
      </c>
      <c r="Q1367" s="0" t="s">
        <v>5030</v>
      </c>
      <c r="R1367" s="0" t="s">
        <v>5028</v>
      </c>
      <c r="S1367" s="0" t="s">
        <v>32</v>
      </c>
      <c r="T1367" s="0">
        <f>HYPERLINK("https://ec-qa-storage.kldlms.com/ItemVariation/08DD1468-403F-4BC0-8985-B5129D55EA23/DE89E71F-789D-4ED4-A5A6-C343EFEFFF83.jpg","Variant Image")</f>
      </c>
      <c r="U1367" s="0">
        <f>HYPERLINK("https://ec-qa-storage.kldlms.com/Item/08DD1468-403F-4BC0-8985-B5129D55EA23/E89EB0AC-2827-4645-9479-F326A0C502DB.jpg","Thumbnail Image")</f>
      </c>
      <c r="V1367" s="0">
        <f>HYPERLINK("https://ec-qa-storage.kldlms.com/ItemGallery/08DD1468-403F-4BC0-8985-B5129D55EA23/8A640192-AAAE-4E13-ABB6-88C9921325CB.jpg","Gallery Image ")</f>
      </c>
      <c r="W1367" s="0" t="s">
        <v>22</v>
      </c>
    </row>
    <row r="1368">
      <c r="A1368" s="0" t="s">
        <v>5031</v>
      </c>
      <c r="B1368" s="0" t="s">
        <v>5031</v>
      </c>
      <c r="C1368" s="0" t="s">
        <v>5032</v>
      </c>
      <c r="D1368" s="0" t="s">
        <v>27</v>
      </c>
      <c r="E1368" s="0" t="s">
        <v>3526</v>
      </c>
      <c r="F1368" s="0" t="s">
        <v>3137</v>
      </c>
      <c r="G1368" s="0" t="s">
        <v>5031</v>
      </c>
      <c r="H1368" s="0" t="s">
        <v>5031</v>
      </c>
      <c r="I1368" s="0" t="s">
        <v>5033</v>
      </c>
      <c r="J1368" s="0" t="s">
        <v>5033</v>
      </c>
      <c r="K1368" s="0" t="s">
        <v>760</v>
      </c>
      <c r="L1368" s="0" t="s">
        <v>32</v>
      </c>
      <c r="M1368" s="0" t="s">
        <v>61</v>
      </c>
      <c r="N1368" s="0" t="s">
        <v>32</v>
      </c>
      <c r="O1368" s="0" t="s">
        <v>35</v>
      </c>
      <c r="P1368" s="0" t="s">
        <v>527</v>
      </c>
      <c r="Q1368" s="0" t="s">
        <v>760</v>
      </c>
      <c r="R1368" s="0" t="s">
        <v>5032</v>
      </c>
      <c r="S1368" s="0" t="s">
        <v>32</v>
      </c>
      <c r="T1368" s="0">
        <f>HYPERLINK("https://ec-qa-storage.kldlms.com/ItemVariation/08DD1468-4051-47A8-85E7-6A9B3A942E7B/1F0B067F-7B6C-4DA1-A486-3EF2FC056B2B.png","Variant Image")</f>
      </c>
      <c r="U1368" s="0">
        <f>HYPERLINK("https://ec-qa-storage.kldlms.com/Item/08DD1468-4051-47A8-85E7-6A9B3A942E7B/CF6D3774-39CC-49DE-939A-205DF096459E.png","Thumbnail Image")</f>
      </c>
      <c r="V1368" s="0">
        <f>HYPERLINK("https://ec-qa-storage.kldlms.com/ItemGallery/08DD1468-4051-47A8-85E7-6A9B3A942E7B/D9A055D7-7C38-441F-B5E3-98461E707E76.png","Gallery Image ")</f>
      </c>
      <c r="W1368" s="0" t="s">
        <v>22</v>
      </c>
    </row>
    <row r="1369">
      <c r="A1369" s="0" t="s">
        <v>5034</v>
      </c>
      <c r="B1369" s="0" t="s">
        <v>5034</v>
      </c>
      <c r="C1369" s="0" t="s">
        <v>5035</v>
      </c>
      <c r="D1369" s="0" t="s">
        <v>27</v>
      </c>
      <c r="E1369" s="0" t="s">
        <v>3526</v>
      </c>
      <c r="F1369" s="0" t="s">
        <v>3137</v>
      </c>
      <c r="G1369" s="0" t="s">
        <v>5034</v>
      </c>
      <c r="H1369" s="0" t="s">
        <v>5034</v>
      </c>
      <c r="I1369" s="0" t="s">
        <v>5036</v>
      </c>
      <c r="J1369" s="0" t="s">
        <v>5036</v>
      </c>
      <c r="K1369" s="0" t="s">
        <v>3272</v>
      </c>
      <c r="L1369" s="0" t="s">
        <v>32</v>
      </c>
      <c r="M1369" s="0" t="s">
        <v>61</v>
      </c>
      <c r="N1369" s="0" t="s">
        <v>32</v>
      </c>
      <c r="O1369" s="0" t="s">
        <v>35</v>
      </c>
      <c r="P1369" s="0" t="s">
        <v>527</v>
      </c>
      <c r="Q1369" s="0" t="s">
        <v>3272</v>
      </c>
      <c r="R1369" s="0" t="s">
        <v>5035</v>
      </c>
      <c r="S1369" s="0" t="s">
        <v>32</v>
      </c>
      <c r="T1369" s="0">
        <f>HYPERLINK("https://ec-qa-storage.kldlms.com/ItemVariation/08DD1468-405C-439B-84F1-614B61BCDFA6/569FC3FA-6B62-4E3E-8ABC-01020072B384.png","Variant Image")</f>
      </c>
      <c r="U1369" s="0">
        <f>HYPERLINK("https://ec-qa-storage.kldlms.com/Item/08DD1468-405C-439B-84F1-614B61BCDFA6/FAC613E8-CA7B-47A3-AABD-1DD127F4888F.png","Thumbnail Image")</f>
      </c>
      <c r="V1369" s="0">
        <f>HYPERLINK("https://ec-qa-storage.kldlms.com/ItemGallery/08DD1468-405C-439B-84F1-614B61BCDFA6/CE4F66EF-19C2-4726-B0DA-192CA2C436B1.png","Gallery Image ")</f>
      </c>
      <c r="W1369" s="0" t="s">
        <v>22</v>
      </c>
    </row>
    <row r="1370">
      <c r="A1370" s="0" t="s">
        <v>5037</v>
      </c>
      <c r="B1370" s="0" t="s">
        <v>5037</v>
      </c>
      <c r="C1370" s="0" t="s">
        <v>5038</v>
      </c>
      <c r="D1370" s="0" t="s">
        <v>27</v>
      </c>
      <c r="E1370" s="0" t="s">
        <v>3526</v>
      </c>
      <c r="F1370" s="0" t="s">
        <v>3137</v>
      </c>
      <c r="G1370" s="0" t="s">
        <v>5037</v>
      </c>
      <c r="H1370" s="0" t="s">
        <v>5037</v>
      </c>
      <c r="I1370" s="0" t="s">
        <v>5039</v>
      </c>
      <c r="J1370" s="0" t="s">
        <v>5039</v>
      </c>
      <c r="K1370" s="0" t="s">
        <v>5040</v>
      </c>
      <c r="L1370" s="0" t="s">
        <v>32</v>
      </c>
      <c r="M1370" s="0" t="s">
        <v>61</v>
      </c>
      <c r="N1370" s="0" t="s">
        <v>32</v>
      </c>
      <c r="O1370" s="0" t="s">
        <v>35</v>
      </c>
      <c r="P1370" s="0" t="s">
        <v>527</v>
      </c>
      <c r="Q1370" s="0" t="s">
        <v>5040</v>
      </c>
      <c r="R1370" s="0" t="s">
        <v>5038</v>
      </c>
      <c r="S1370" s="0" t="s">
        <v>32</v>
      </c>
      <c r="T1370" s="0">
        <f>HYPERLINK("https://ec-qa-storage.kldlms.com/ItemVariation/08DD1468-4065-4F15-86B3-642504658D3B/28601B1C-CB11-4689-B51D-9921B7600E43.png","Variant Image")</f>
      </c>
      <c r="U1370" s="0">
        <f>HYPERLINK("https://ec-qa-storage.kldlms.com/Item/08DD1468-4065-4F15-86B3-642504658D3B/8BB046E1-84C8-4895-A510-81F2AE390EE7.png","Thumbnail Image")</f>
      </c>
      <c r="V1370" s="0">
        <f>HYPERLINK("https://ec-qa-storage.kldlms.com/ItemGallery/08DD1468-4065-4F15-86B3-642504658D3B/FD1C2468-4F1C-4E26-80BC-963C51632EFC.png","Gallery Image ")</f>
      </c>
      <c r="W1370" s="0" t="s">
        <v>22</v>
      </c>
    </row>
    <row r="1371">
      <c r="A1371" s="0" t="s">
        <v>5041</v>
      </c>
      <c r="B1371" s="0" t="s">
        <v>5041</v>
      </c>
      <c r="C1371" s="0" t="s">
        <v>5042</v>
      </c>
      <c r="D1371" s="0" t="s">
        <v>27</v>
      </c>
      <c r="E1371" s="0" t="s">
        <v>3526</v>
      </c>
      <c r="F1371" s="0" t="s">
        <v>3137</v>
      </c>
      <c r="G1371" s="0" t="s">
        <v>5041</v>
      </c>
      <c r="H1371" s="0" t="s">
        <v>5041</v>
      </c>
      <c r="I1371" s="0" t="s">
        <v>5043</v>
      </c>
      <c r="J1371" s="0" t="s">
        <v>5043</v>
      </c>
      <c r="K1371" s="0" t="s">
        <v>761</v>
      </c>
      <c r="L1371" s="0" t="s">
        <v>32</v>
      </c>
      <c r="M1371" s="0" t="s">
        <v>61</v>
      </c>
      <c r="N1371" s="0" t="s">
        <v>32</v>
      </c>
      <c r="O1371" s="0" t="s">
        <v>35</v>
      </c>
      <c r="P1371" s="0" t="s">
        <v>527</v>
      </c>
      <c r="Q1371" s="0" t="s">
        <v>761</v>
      </c>
      <c r="R1371" s="0" t="s">
        <v>5042</v>
      </c>
      <c r="S1371" s="0" t="s">
        <v>32</v>
      </c>
      <c r="T1371" s="0">
        <f>HYPERLINK("https://ec-qa-storage.kldlms.com/ItemVariation/08DD1468-407D-46F1-8708-B07F0048B005/E1D969EE-46D3-47E8-9DE1-0594570C7C43.jpg","Variant Image")</f>
      </c>
      <c r="U1371" s="0">
        <f>HYPERLINK("https://ec-qa-storage.kldlms.com/Item/08DD1468-407D-46F1-8708-B07F0048B005/365E8958-C757-4825-8F97-2A4D82BD586A.jpg","Thumbnail Image")</f>
      </c>
      <c r="V1371" s="0">
        <f>HYPERLINK("https://ec-qa-storage.kldlms.com/ItemGallery/08DD1468-407D-46F1-8708-B07F0048B005/8E14664C-C58A-4FBC-9D71-F3E435BCC325.jpg","Gallery Image ")</f>
      </c>
      <c r="W1371" s="0" t="s">
        <v>22</v>
      </c>
    </row>
    <row r="1372">
      <c r="A1372" s="0" t="s">
        <v>5041</v>
      </c>
      <c r="B1372" s="0" t="s">
        <v>5041</v>
      </c>
      <c r="C1372" s="0" t="s">
        <v>5044</v>
      </c>
      <c r="D1372" s="0" t="s">
        <v>27</v>
      </c>
      <c r="E1372" s="0" t="s">
        <v>3526</v>
      </c>
      <c r="F1372" s="0" t="s">
        <v>3137</v>
      </c>
      <c r="G1372" s="0" t="s">
        <v>5041</v>
      </c>
      <c r="H1372" s="0" t="s">
        <v>5041</v>
      </c>
      <c r="I1372" s="0" t="s">
        <v>5045</v>
      </c>
      <c r="J1372" s="0" t="s">
        <v>5045</v>
      </c>
      <c r="K1372" s="0" t="s">
        <v>566</v>
      </c>
      <c r="L1372" s="0" t="s">
        <v>32</v>
      </c>
      <c r="M1372" s="0" t="s">
        <v>61</v>
      </c>
      <c r="N1372" s="0" t="s">
        <v>32</v>
      </c>
      <c r="O1372" s="0" t="s">
        <v>35</v>
      </c>
      <c r="P1372" s="0" t="s">
        <v>527</v>
      </c>
      <c r="Q1372" s="0" t="s">
        <v>566</v>
      </c>
      <c r="R1372" s="0" t="s">
        <v>5044</v>
      </c>
      <c r="S1372" s="0" t="s">
        <v>32</v>
      </c>
      <c r="T1372" s="0">
        <f>HYPERLINK("https://ec-qa-storage.kldlms.com/ItemVariation/08DD1468-4154-43B2-8497-759FBB27632B/9ADBE35C-1A6C-4BB4-9177-A942EBE23B2A.jpg","Variant Image")</f>
      </c>
      <c r="U1372" s="0">
        <f>HYPERLINK("https://ec-qa-storage.kldlms.com/Item/08DD1468-4154-43B2-8497-759FBB27632B/28F30EFE-33F6-4261-A2E0-023384D4866C.jpg","Thumbnail Image")</f>
      </c>
      <c r="V1372" s="0">
        <f>HYPERLINK("https://ec-qa-storage.kldlms.com/ItemGallery/08DD1468-4154-43B2-8497-759FBB27632B/376938EB-F674-42A9-86CB-8CBA8D049B6B.jpg","Gallery Image ")</f>
      </c>
      <c r="W1372" s="0" t="s">
        <v>22</v>
      </c>
    </row>
    <row r="1373">
      <c r="A1373" s="0" t="s">
        <v>5046</v>
      </c>
      <c r="B1373" s="0" t="s">
        <v>5046</v>
      </c>
      <c r="C1373" s="0" t="s">
        <v>5047</v>
      </c>
      <c r="D1373" s="0" t="s">
        <v>27</v>
      </c>
      <c r="E1373" s="0" t="s">
        <v>3526</v>
      </c>
      <c r="F1373" s="0" t="s">
        <v>3137</v>
      </c>
      <c r="G1373" s="0" t="s">
        <v>5046</v>
      </c>
      <c r="H1373" s="0" t="s">
        <v>5046</v>
      </c>
      <c r="I1373" s="0" t="s">
        <v>5048</v>
      </c>
      <c r="J1373" s="0" t="s">
        <v>5048</v>
      </c>
      <c r="K1373" s="0" t="s">
        <v>5049</v>
      </c>
      <c r="L1373" s="0" t="s">
        <v>32</v>
      </c>
      <c r="M1373" s="0" t="s">
        <v>61</v>
      </c>
      <c r="N1373" s="0" t="s">
        <v>32</v>
      </c>
      <c r="O1373" s="0" t="s">
        <v>35</v>
      </c>
      <c r="P1373" s="0" t="s">
        <v>527</v>
      </c>
      <c r="Q1373" s="0" t="s">
        <v>5049</v>
      </c>
      <c r="R1373" s="0" t="s">
        <v>5047</v>
      </c>
      <c r="S1373" s="0" t="s">
        <v>32</v>
      </c>
      <c r="T1373" s="0">
        <f>HYPERLINK("https://ec-qa-storage.kldlms.com/ItemVariation/08DD1468-4209-42BF-83FD-EA5D268CDFCE/54F1EFFC-0D2C-4925-91CC-D27A5D36514C.jpg","Variant Image")</f>
      </c>
      <c r="U1373" s="0">
        <f>HYPERLINK("https://ec-qa-storage.kldlms.com/Item/08DD1468-4209-42BF-83FD-EA5D268CDFCE/928387B1-3D16-47B3-8271-75402D4B3908.jpg","Thumbnail Image")</f>
      </c>
      <c r="V1373" s="0">
        <f>HYPERLINK("https://ec-qa-storage.kldlms.com/ItemGallery/08DD1468-4209-42BF-83FD-EA5D268CDFCE/42B85D89-F648-4E47-9701-025E6BD11C97.jpg","Gallery Image ")</f>
      </c>
      <c r="W1373" s="0" t="s">
        <v>22</v>
      </c>
    </row>
    <row r="1374">
      <c r="A1374" s="0" t="s">
        <v>5050</v>
      </c>
      <c r="B1374" s="0" t="s">
        <v>5050</v>
      </c>
      <c r="C1374" s="0" t="s">
        <v>5051</v>
      </c>
      <c r="D1374" s="0" t="s">
        <v>27</v>
      </c>
      <c r="E1374" s="0" t="s">
        <v>3526</v>
      </c>
      <c r="F1374" s="0" t="s">
        <v>3137</v>
      </c>
      <c r="G1374" s="0" t="s">
        <v>5050</v>
      </c>
      <c r="H1374" s="0" t="s">
        <v>5050</v>
      </c>
      <c r="I1374" s="0" t="s">
        <v>5052</v>
      </c>
      <c r="J1374" s="0" t="s">
        <v>5052</v>
      </c>
      <c r="K1374" s="0" t="s">
        <v>4291</v>
      </c>
      <c r="L1374" s="0" t="s">
        <v>32</v>
      </c>
      <c r="M1374" s="0" t="s">
        <v>61</v>
      </c>
      <c r="N1374" s="0" t="s">
        <v>32</v>
      </c>
      <c r="O1374" s="0" t="s">
        <v>35</v>
      </c>
      <c r="P1374" s="0" t="s">
        <v>527</v>
      </c>
      <c r="Q1374" s="0" t="s">
        <v>4291</v>
      </c>
      <c r="R1374" s="0" t="s">
        <v>5051</v>
      </c>
      <c r="S1374" s="0" t="s">
        <v>32</v>
      </c>
      <c r="T1374" s="0">
        <f>HYPERLINK("https://ec-qa-storage.kldlms.com/ItemVariation/08DD1468-4337-4E85-8776-5607FF6D6883/83EBBAE3-ABD6-45CE-86DB-6C3E0A40188A.jpg","Variant Image")</f>
      </c>
      <c r="U1374" s="0">
        <f>HYPERLINK("https://ec-qa-storage.kldlms.com/Item/08DD1468-4337-4E85-8776-5607FF6D6883/761BFD2D-4D9A-4743-AF8D-0368BE28DEC5.jpg","Thumbnail Image")</f>
      </c>
      <c r="V1374" s="0">
        <f>HYPERLINK("https://ec-qa-storage.kldlms.com/ItemGallery/08DD1468-4337-4E85-8776-5607FF6D6883/4A2E3741-9A88-4380-A6D7-506436F95FA9.jpg","Gallery Image ")</f>
      </c>
      <c r="W1374" s="0" t="s">
        <v>22</v>
      </c>
    </row>
    <row r="1375">
      <c r="A1375" s="0" t="s">
        <v>5053</v>
      </c>
      <c r="B1375" s="0" t="s">
        <v>5053</v>
      </c>
      <c r="C1375" s="0" t="s">
        <v>5054</v>
      </c>
      <c r="D1375" s="0" t="s">
        <v>27</v>
      </c>
      <c r="E1375" s="0" t="s">
        <v>3526</v>
      </c>
      <c r="F1375" s="0" t="s">
        <v>3137</v>
      </c>
      <c r="G1375" s="0" t="s">
        <v>5053</v>
      </c>
      <c r="H1375" s="0" t="s">
        <v>5053</v>
      </c>
      <c r="I1375" s="0" t="s">
        <v>5055</v>
      </c>
      <c r="J1375" s="0" t="s">
        <v>5055</v>
      </c>
      <c r="K1375" s="0" t="s">
        <v>5056</v>
      </c>
      <c r="L1375" s="0" t="s">
        <v>32</v>
      </c>
      <c r="M1375" s="0" t="s">
        <v>61</v>
      </c>
      <c r="N1375" s="0" t="s">
        <v>32</v>
      </c>
      <c r="O1375" s="0" t="s">
        <v>35</v>
      </c>
      <c r="P1375" s="0" t="s">
        <v>527</v>
      </c>
      <c r="Q1375" s="0" t="s">
        <v>5056</v>
      </c>
      <c r="R1375" s="0" t="s">
        <v>5054</v>
      </c>
      <c r="S1375" s="0" t="s">
        <v>32</v>
      </c>
      <c r="T1375" s="0">
        <f>HYPERLINK("https://ec-qa-storage.kldlms.com/ItemVariation/08DD1468-434A-45ED-82FD-EE0D061E54D3/9C874AEE-F4EC-4B3B-A134-E54ED9A89BAA.jpg","Variant Image")</f>
      </c>
      <c r="U1375" s="0">
        <f>HYPERLINK("https://ec-qa-storage.kldlms.com/Item/08DD1468-434A-45ED-82FD-EE0D061E54D3/55B99017-0777-4F48-A4BF-11E7D24D37B0.jpg","Thumbnail Image")</f>
      </c>
      <c r="V1375" s="0">
        <f>HYPERLINK("https://ec-qa-storage.kldlms.com/ItemGallery/08DD1468-434A-45ED-82FD-EE0D061E54D3/4D1198C9-0293-44FE-8924-C4FEC960E5B4.jpg","Gallery Image ")</f>
      </c>
      <c r="W1375" s="0" t="s">
        <v>22</v>
      </c>
    </row>
    <row r="1376">
      <c r="A1376" s="0" t="s">
        <v>5057</v>
      </c>
      <c r="B1376" s="0" t="s">
        <v>5057</v>
      </c>
      <c r="C1376" s="0" t="s">
        <v>5058</v>
      </c>
      <c r="D1376" s="0" t="s">
        <v>27</v>
      </c>
      <c r="E1376" s="0" t="s">
        <v>3526</v>
      </c>
      <c r="F1376" s="0" t="s">
        <v>3137</v>
      </c>
      <c r="G1376" s="0" t="s">
        <v>5057</v>
      </c>
      <c r="H1376" s="0" t="s">
        <v>5057</v>
      </c>
      <c r="I1376" s="0" t="s">
        <v>5059</v>
      </c>
      <c r="J1376" s="0" t="s">
        <v>5059</v>
      </c>
      <c r="K1376" s="0" t="s">
        <v>5060</v>
      </c>
      <c r="L1376" s="0" t="s">
        <v>32</v>
      </c>
      <c r="M1376" s="0" t="s">
        <v>61</v>
      </c>
      <c r="N1376" s="0" t="s">
        <v>32</v>
      </c>
      <c r="O1376" s="0" t="s">
        <v>35</v>
      </c>
      <c r="P1376" s="0" t="s">
        <v>527</v>
      </c>
      <c r="Q1376" s="0" t="s">
        <v>5060</v>
      </c>
      <c r="R1376" s="0" t="s">
        <v>5058</v>
      </c>
      <c r="S1376" s="0" t="s">
        <v>32</v>
      </c>
      <c r="T1376" s="0">
        <f>HYPERLINK("https://ec-qa-storage.kldlms.com/ItemVariation/08DD1468-43D4-41E2-8F73-394D4CF91899/343FDAC3-A413-4F79-A938-183BB94C87A8.png","Variant Image")</f>
      </c>
      <c r="U1376" s="0">
        <f>HYPERLINK("https://ec-qa-storage.kldlms.com/Item/08DD1468-43D4-41E2-8F73-394D4CF91899/3AF1FC10-85A8-47C8-94D7-C0A811B6B1CE.png","Thumbnail Image")</f>
      </c>
      <c r="V1376" s="0">
        <f>HYPERLINK("https://ec-qa-storage.kldlms.com/ItemGallery/08DD1468-43D4-41E2-8F73-394D4CF91899/7703629A-B938-4F7E-8D6A-28CD7B2E13DB.jpeg","Gallery Image ")</f>
      </c>
      <c r="W1376" s="0" t="s">
        <v>22</v>
      </c>
    </row>
    <row r="1377">
      <c r="A1377" s="0" t="s">
        <v>5061</v>
      </c>
      <c r="B1377" s="0" t="s">
        <v>5061</v>
      </c>
      <c r="C1377" s="0" t="s">
        <v>5062</v>
      </c>
      <c r="D1377" s="0" t="s">
        <v>27</v>
      </c>
      <c r="E1377" s="0" t="s">
        <v>3526</v>
      </c>
      <c r="F1377" s="0" t="s">
        <v>3137</v>
      </c>
      <c r="G1377" s="0" t="s">
        <v>5061</v>
      </c>
      <c r="H1377" s="0" t="s">
        <v>5061</v>
      </c>
      <c r="I1377" s="0" t="s">
        <v>5063</v>
      </c>
      <c r="J1377" s="0" t="s">
        <v>5063</v>
      </c>
      <c r="K1377" s="0" t="s">
        <v>5064</v>
      </c>
      <c r="L1377" s="0" t="s">
        <v>32</v>
      </c>
      <c r="M1377" s="0" t="s">
        <v>61</v>
      </c>
      <c r="N1377" s="0" t="s">
        <v>32</v>
      </c>
      <c r="O1377" s="0" t="s">
        <v>35</v>
      </c>
      <c r="P1377" s="0" t="s">
        <v>1016</v>
      </c>
      <c r="Q1377" s="0" t="s">
        <v>5064</v>
      </c>
      <c r="R1377" s="0" t="s">
        <v>5062</v>
      </c>
      <c r="S1377" s="0" t="s">
        <v>32</v>
      </c>
      <c r="T1377" s="0">
        <f>HYPERLINK("https://ec-qa-storage.kldlms.com/ItemVariation/08DD1468-444E-42B9-8246-43D9F4A23278/6AE04C38-3B72-4EAB-BE29-7C3D13FAB9AC.webp","Variant Image")</f>
      </c>
      <c r="U1377" s="0">
        <f>HYPERLINK("https://ec-qa-storage.kldlms.com/Item/08DD1468-444E-42B9-8246-43D9F4A23278/76BD3734-3BD5-4547-8C2F-F3E5CE185971.webp","Thumbnail Image")</f>
      </c>
      <c r="V1377" s="0">
        <f>HYPERLINK("https://ec-qa-storage.kldlms.com/ItemGallery/08DD1468-444E-42B9-8246-43D9F4A23278/758FE3DC-231F-4DFE-9D7D-FA25D2238AAA.jpg","Gallery Image ")</f>
      </c>
      <c r="W1377" s="0" t="s">
        <v>22</v>
      </c>
    </row>
    <row r="1378">
      <c r="A1378" s="0" t="s">
        <v>5065</v>
      </c>
      <c r="B1378" s="0" t="s">
        <v>5065</v>
      </c>
      <c r="C1378" s="0" t="s">
        <v>5066</v>
      </c>
      <c r="D1378" s="0" t="s">
        <v>27</v>
      </c>
      <c r="E1378" s="0" t="s">
        <v>3526</v>
      </c>
      <c r="F1378" s="0" t="s">
        <v>3137</v>
      </c>
      <c r="G1378" s="0" t="s">
        <v>5065</v>
      </c>
      <c r="H1378" s="0" t="s">
        <v>5065</v>
      </c>
      <c r="I1378" s="0" t="s">
        <v>5067</v>
      </c>
      <c r="J1378" s="0" t="s">
        <v>5067</v>
      </c>
      <c r="K1378" s="0" t="s">
        <v>5068</v>
      </c>
      <c r="L1378" s="0" t="s">
        <v>32</v>
      </c>
      <c r="M1378" s="0" t="s">
        <v>61</v>
      </c>
      <c r="N1378" s="0" t="s">
        <v>32</v>
      </c>
      <c r="O1378" s="0" t="s">
        <v>35</v>
      </c>
      <c r="P1378" s="0" t="s">
        <v>593</v>
      </c>
      <c r="Q1378" s="0" t="s">
        <v>5068</v>
      </c>
      <c r="R1378" s="0" t="s">
        <v>5069</v>
      </c>
      <c r="S1378" s="0" t="s">
        <v>32</v>
      </c>
      <c r="T1378" s="0">
        <f>HYPERLINK("https://ec-qa-storage.kldlms.com/ItemVariation/08DD1468-8140-4EFD-8C7A-D3754C2D8456/0D3DEC9B-0A9D-4970-8DC7-158FF5914D85.jpg","Variant Image")</f>
      </c>
      <c r="U1378" s="0">
        <f>HYPERLINK("https://ec-qa-storage.kldlms.com/Item/08DD1468-8140-4EFD-8C7A-D3754C2D8456/00E6190A-0DCB-4DE8-9C44-CC0EAEFB340D.jpg","Thumbnail Image")</f>
      </c>
      <c r="V1378" s="0">
        <f>HYPERLINK("https://ec-qa-storage.kldlms.com/ItemGallery/08DD1468-8140-4EFD-8C7A-D3754C2D8456/EF66C749-164B-4DE7-8777-4CF0582CC7F5.jpg","Gallery Image ")</f>
      </c>
      <c r="W1378" s="0" t="s">
        <v>22</v>
      </c>
    </row>
    <row r="1379">
      <c r="P1379" s="0" t="s">
        <v>1016</v>
      </c>
      <c r="Q1379" s="0" t="s">
        <v>5068</v>
      </c>
      <c r="R1379" s="0" t="s">
        <v>5070</v>
      </c>
      <c r="S1379" s="0" t="s">
        <v>32</v>
      </c>
      <c r="T1379" s="0">
        <f>HYPERLINK("https://ec-qa-storage.kldlms.com/ItemVariation/08DD1468-8140-4EFD-8C7A-D3754C2D8456/78C69E45-BD15-4E21-B870-516D7519426C.jpg","Variant Image")</f>
      </c>
    </row>
    <row r="1380">
      <c r="P1380" s="0" t="s">
        <v>527</v>
      </c>
      <c r="Q1380" s="0" t="s">
        <v>5068</v>
      </c>
      <c r="R1380" s="0" t="s">
        <v>5066</v>
      </c>
      <c r="S1380" s="0" t="s">
        <v>32</v>
      </c>
      <c r="T1380" s="0">
        <f>HYPERLINK("https://ec-qa-storage.kldlms.com/ItemVariation/08DD1468-8140-4EFD-8C7A-D3754C2D8456/13179C1D-DCC9-4758-9029-5F47B844EB2B.jpg","Variant Image")</f>
      </c>
    </row>
    <row r="1381">
      <c r="A1381" s="0" t="s">
        <v>4241</v>
      </c>
      <c r="B1381" s="0" t="s">
        <v>4241</v>
      </c>
      <c r="C1381" s="0" t="s">
        <v>4242</v>
      </c>
      <c r="D1381" s="0" t="s">
        <v>27</v>
      </c>
      <c r="E1381" s="0" t="s">
        <v>3526</v>
      </c>
      <c r="F1381" s="0" t="s">
        <v>3137</v>
      </c>
      <c r="G1381" s="0" t="s">
        <v>4241</v>
      </c>
      <c r="H1381" s="0" t="s">
        <v>4241</v>
      </c>
      <c r="I1381" s="0" t="s">
        <v>5071</v>
      </c>
      <c r="J1381" s="0" t="s">
        <v>5071</v>
      </c>
      <c r="K1381" s="0" t="s">
        <v>4243</v>
      </c>
      <c r="L1381" s="0" t="s">
        <v>32</v>
      </c>
      <c r="M1381" s="0" t="s">
        <v>61</v>
      </c>
      <c r="N1381" s="0" t="s">
        <v>32</v>
      </c>
      <c r="O1381" s="0" t="s">
        <v>35</v>
      </c>
      <c r="P1381" s="0" t="s">
        <v>527</v>
      </c>
      <c r="Q1381" s="0" t="s">
        <v>4243</v>
      </c>
      <c r="R1381" s="0" t="s">
        <v>4242</v>
      </c>
      <c r="S1381" s="0" t="s">
        <v>32</v>
      </c>
      <c r="T1381" s="0">
        <f>HYPERLINK("https://ec-qa-storage.kldlms.com/ItemVariation/08DD1468-817E-4241-87BD-26CF6D26800F/C3247773-7628-4ABB-8A58-6BB4553AA951.jpg","Variant Image")</f>
      </c>
      <c r="U1381" s="0">
        <f>HYPERLINK("https://ec-qa-storage.kldlms.com/Item/08DD1468-817E-4241-87BD-26CF6D26800F/2ED15879-F747-4949-9368-C867245525BD.jpg","Thumbnail Image")</f>
      </c>
      <c r="V1381" s="0">
        <f>HYPERLINK("https://ec-qa-storage.kldlms.com/ItemGallery/08DD1468-817E-4241-87BD-26CF6D26800F/AB1A310D-3E28-4067-AC69-9766BC9107DC.jpg","Gallery Image ")</f>
      </c>
      <c r="W1381" s="0" t="s">
        <v>22</v>
      </c>
    </row>
    <row r="1382">
      <c r="P1382" s="0" t="s">
        <v>593</v>
      </c>
      <c r="Q1382" s="0" t="s">
        <v>4243</v>
      </c>
      <c r="R1382" s="0" t="s">
        <v>4247</v>
      </c>
      <c r="S1382" s="0" t="s">
        <v>32</v>
      </c>
      <c r="T1382" s="0">
        <f>HYPERLINK("https://ec-qa-storage.kldlms.com/ItemVariation/08DD1468-817E-4241-87BD-26CF6D26800F/1E55F2A3-6644-4931-85FA-0F33C57044D0.jpg","Variant Image")</f>
      </c>
    </row>
    <row r="1383">
      <c r="P1383" s="0" t="s">
        <v>1016</v>
      </c>
      <c r="Q1383" s="0" t="s">
        <v>4243</v>
      </c>
      <c r="R1383" s="0" t="s">
        <v>4250</v>
      </c>
      <c r="S1383" s="0" t="s">
        <v>32</v>
      </c>
      <c r="T1383" s="0">
        <f>HYPERLINK("https://ec-qa-storage.kldlms.com/ItemVariation/08DD1468-817E-4241-87BD-26CF6D26800F/D61852BF-7F73-40AB-B146-BC7C31006D54.jpg","Variant Image")</f>
      </c>
    </row>
    <row r="1384">
      <c r="A1384" s="0" t="s">
        <v>5072</v>
      </c>
      <c r="B1384" s="0" t="s">
        <v>5072</v>
      </c>
      <c r="C1384" s="0" t="s">
        <v>5073</v>
      </c>
      <c r="D1384" s="0" t="s">
        <v>27</v>
      </c>
      <c r="E1384" s="0" t="s">
        <v>3526</v>
      </c>
      <c r="F1384" s="0" t="s">
        <v>3137</v>
      </c>
      <c r="G1384" s="0" t="s">
        <v>5072</v>
      </c>
      <c r="H1384" s="0" t="s">
        <v>5072</v>
      </c>
      <c r="I1384" s="0" t="s">
        <v>5074</v>
      </c>
      <c r="J1384" s="0" t="s">
        <v>5074</v>
      </c>
      <c r="K1384" s="0" t="s">
        <v>4266</v>
      </c>
      <c r="L1384" s="0" t="s">
        <v>32</v>
      </c>
      <c r="M1384" s="0" t="s">
        <v>61</v>
      </c>
      <c r="N1384" s="0" t="s">
        <v>32</v>
      </c>
      <c r="O1384" s="0" t="s">
        <v>35</v>
      </c>
      <c r="P1384" s="0" t="s">
        <v>527</v>
      </c>
      <c r="Q1384" s="0" t="s">
        <v>4266</v>
      </c>
      <c r="R1384" s="0" t="s">
        <v>5073</v>
      </c>
      <c r="S1384" s="0" t="s">
        <v>32</v>
      </c>
      <c r="T1384" s="0">
        <f>HYPERLINK("https://ec-qa-storage.kldlms.com/ItemVariation/08DD1468-81A6-47CC-82BA-E475D8F07210/A8B0A7DB-AF47-4C47-A65B-058F838F764C.jpg","Variant Image")</f>
      </c>
      <c r="U1384" s="0">
        <f>HYPERLINK("https://ec-qa-storage.kldlms.com/Item/08DD1468-81A6-47CC-82BA-E475D8F07210/93FBB32D-F876-4A77-B997-3532697F1D52.jpg","Thumbnail Image")</f>
      </c>
      <c r="V1384" s="0">
        <f>HYPERLINK("https://ec-qa-storage.kldlms.com/ItemGallery/08DD1468-81A6-47CC-82BA-E475D8F07210/4780AACA-3DC3-40FC-815E-D0312C0CFE6C.jpg","Gallery Image ")</f>
      </c>
      <c r="W1384" s="0" t="s">
        <v>22</v>
      </c>
    </row>
    <row r="1385">
      <c r="P1385" s="0" t="s">
        <v>593</v>
      </c>
      <c r="Q1385" s="0" t="s">
        <v>4266</v>
      </c>
      <c r="R1385" s="0" t="s">
        <v>5075</v>
      </c>
      <c r="S1385" s="0" t="s">
        <v>32</v>
      </c>
      <c r="T1385" s="0">
        <f>HYPERLINK("https://ec-qa-storage.kldlms.com/ItemVariation/08DD1468-81A6-47CC-82BA-E475D8F07210/E851DED6-EEB7-44C9-AF0F-8EF4252E50B3.jpg","Variant Image")</f>
      </c>
    </row>
    <row r="1386">
      <c r="P1386" s="0" t="s">
        <v>1016</v>
      </c>
      <c r="Q1386" s="0" t="s">
        <v>4266</v>
      </c>
      <c r="R1386" s="0" t="s">
        <v>5076</v>
      </c>
      <c r="S1386" s="0" t="s">
        <v>32</v>
      </c>
      <c r="T1386" s="0">
        <f>HYPERLINK("https://ec-qa-storage.kldlms.com/ItemVariation/08DD1468-81A6-47CC-82BA-E475D8F07210/2C76D4BB-C655-421E-A03D-F54473FC3611.jpg","Variant Image")</f>
      </c>
    </row>
    <row r="1387">
      <c r="A1387" s="0" t="s">
        <v>5077</v>
      </c>
      <c r="B1387" s="0" t="s">
        <v>5077</v>
      </c>
      <c r="C1387" s="0" t="s">
        <v>5078</v>
      </c>
      <c r="D1387" s="0" t="s">
        <v>27</v>
      </c>
      <c r="E1387" s="0" t="s">
        <v>3526</v>
      </c>
      <c r="F1387" s="0" t="s">
        <v>3137</v>
      </c>
      <c r="G1387" s="0" t="s">
        <v>5077</v>
      </c>
      <c r="H1387" s="0" t="s">
        <v>5077</v>
      </c>
      <c r="I1387" s="0" t="s">
        <v>5079</v>
      </c>
      <c r="J1387" s="0" t="s">
        <v>5079</v>
      </c>
      <c r="K1387" s="0" t="s">
        <v>1391</v>
      </c>
      <c r="L1387" s="0" t="s">
        <v>32</v>
      </c>
      <c r="M1387" s="0" t="s">
        <v>61</v>
      </c>
      <c r="N1387" s="0" t="s">
        <v>32</v>
      </c>
      <c r="O1387" s="0" t="s">
        <v>35</v>
      </c>
      <c r="P1387" s="0" t="s">
        <v>527</v>
      </c>
      <c r="Q1387" s="0" t="s">
        <v>1391</v>
      </c>
      <c r="R1387" s="0" t="s">
        <v>5078</v>
      </c>
      <c r="S1387" s="0" t="s">
        <v>32</v>
      </c>
      <c r="T1387" s="0">
        <f>HYPERLINK("https://ec-qa-storage.kldlms.com/ItemVariation/08DD1468-81DC-4994-879A-F963B04FE2E0/47665E39-1CBD-4234-8349-1A70578053AA.jpg","Variant Image")</f>
      </c>
      <c r="U1387" s="0">
        <f>HYPERLINK("https://ec-qa-storage.kldlms.com/Item/08DD1468-81DC-4994-879A-F963B04FE2E0/A5274E32-46F8-47F4-81AE-3B734591AB89.jpg","Thumbnail Image")</f>
      </c>
      <c r="V1387" s="0">
        <f>HYPERLINK("https://ec-qa-storage.kldlms.com/ItemGallery/08DD1468-81DC-4994-879A-F963B04FE2E0/5F4D7EBA-095A-4669-BCCD-AEBCFBC0EC59.jpg","Gallery Image ")</f>
      </c>
      <c r="W1387" s="0" t="s">
        <v>22</v>
      </c>
    </row>
    <row r="1388">
      <c r="P1388" s="0" t="s">
        <v>1016</v>
      </c>
      <c r="Q1388" s="0" t="s">
        <v>1391</v>
      </c>
      <c r="R1388" s="0" t="s">
        <v>4253</v>
      </c>
      <c r="S1388" s="0" t="s">
        <v>32</v>
      </c>
      <c r="T1388" s="0">
        <f>HYPERLINK("https://ec-qa-storage.kldlms.com/ItemVariation/08DD1468-81DC-4994-879A-F963B04FE2E0/284A4857-E022-4B79-B82C-1F09FBEF71FA.jpg","Variant Image")</f>
      </c>
    </row>
    <row r="1389">
      <c r="A1389" s="0" t="s">
        <v>5080</v>
      </c>
      <c r="B1389" s="0" t="s">
        <v>5080</v>
      </c>
      <c r="C1389" s="0" t="s">
        <v>5081</v>
      </c>
      <c r="D1389" s="0" t="s">
        <v>27</v>
      </c>
      <c r="E1389" s="0" t="s">
        <v>3526</v>
      </c>
      <c r="F1389" s="0" t="s">
        <v>3137</v>
      </c>
      <c r="G1389" s="0" t="s">
        <v>5080</v>
      </c>
      <c r="H1389" s="0" t="s">
        <v>5080</v>
      </c>
      <c r="I1389" s="0" t="s">
        <v>5082</v>
      </c>
      <c r="J1389" s="0" t="s">
        <v>5082</v>
      </c>
      <c r="K1389" s="0" t="s">
        <v>5083</v>
      </c>
      <c r="L1389" s="0" t="s">
        <v>32</v>
      </c>
      <c r="M1389" s="0" t="s">
        <v>61</v>
      </c>
      <c r="N1389" s="0" t="s">
        <v>32</v>
      </c>
      <c r="O1389" s="0" t="s">
        <v>35</v>
      </c>
      <c r="P1389" s="0" t="s">
        <v>527</v>
      </c>
      <c r="Q1389" s="0" t="s">
        <v>5083</v>
      </c>
      <c r="R1389" s="0" t="s">
        <v>5081</v>
      </c>
      <c r="S1389" s="0" t="s">
        <v>32</v>
      </c>
      <c r="T1389" s="0">
        <f>HYPERLINK("https://ec-qa-storage.kldlms.com/ItemVariation/08DD1468-824C-488D-8E47-D715796B153F/FB9009DC-8537-4C50-B473-62807DACE173.png","Variant Image")</f>
      </c>
      <c r="U1389" s="0">
        <f>HYPERLINK("https://ec-qa-storage.kldlms.com/Item/08DD1468-824C-488D-8E47-D715796B153F/96C0644E-8F4C-491B-87B8-FEF5D0830E5E.png","Thumbnail Image")</f>
      </c>
      <c r="V1389" s="0">
        <f>HYPERLINK("https://ec-qa-storage.kldlms.com/ItemGallery/08DD1468-824C-488D-8E47-D715796B153F/78A083C3-4D10-427A-A17D-713D65F54845.jpg","Gallery Image ")</f>
      </c>
      <c r="W1389" s="0" t="s">
        <v>22</v>
      </c>
    </row>
    <row r="1390">
      <c r="P1390" s="0" t="s">
        <v>1016</v>
      </c>
      <c r="Q1390" s="0" t="s">
        <v>5083</v>
      </c>
      <c r="R1390" s="0" t="s">
        <v>5084</v>
      </c>
      <c r="S1390" s="0" t="s">
        <v>32</v>
      </c>
      <c r="T1390" s="0">
        <f>HYPERLINK("https://ec-qa-storage.kldlms.com/ItemVariation/08DD1468-824C-488D-8E47-D715796B153F/6F729349-5654-4F85-9F88-D64AE1B6D4C6.webp","Variant Image")</f>
      </c>
    </row>
    <row r="1391">
      <c r="A1391" s="0" t="s">
        <v>5085</v>
      </c>
      <c r="B1391" s="0" t="s">
        <v>5085</v>
      </c>
      <c r="C1391" s="0" t="s">
        <v>5086</v>
      </c>
      <c r="D1391" s="0" t="s">
        <v>27</v>
      </c>
      <c r="E1391" s="0" t="s">
        <v>3526</v>
      </c>
      <c r="F1391" s="0" t="s">
        <v>3137</v>
      </c>
      <c r="G1391" s="0" t="s">
        <v>5085</v>
      </c>
      <c r="H1391" s="0" t="s">
        <v>5085</v>
      </c>
      <c r="I1391" s="0" t="s">
        <v>5087</v>
      </c>
      <c r="J1391" s="0" t="s">
        <v>5087</v>
      </c>
      <c r="K1391" s="0" t="s">
        <v>32</v>
      </c>
      <c r="L1391" s="0" t="s">
        <v>32</v>
      </c>
      <c r="M1391" s="0" t="s">
        <v>61</v>
      </c>
      <c r="N1391" s="0" t="s">
        <v>32</v>
      </c>
      <c r="O1391" s="0" t="s">
        <v>35</v>
      </c>
      <c r="P1391" s="0" t="s">
        <v>527</v>
      </c>
      <c r="Q1391" s="0" t="s">
        <v>32</v>
      </c>
      <c r="R1391" s="0" t="s">
        <v>5086</v>
      </c>
      <c r="S1391" s="0" t="s">
        <v>32</v>
      </c>
      <c r="T1391" s="0">
        <f>HYPERLINK("https://ec-qa-storage.kldlms.com/ItemVariation/08DD1468-83B7-40F8-8BB7-2C6D68480C1B/68F7DBB3-26F0-4207-8A4F-D6F792C93DB4.jpg","Variant Image")</f>
      </c>
      <c r="U1391" s="0">
        <f>HYPERLINK("https://ec-qa-storage.kldlms.com/Item/08DD1468-83B7-40F8-8BB7-2C6D68480C1B/595A4063-4C84-44D2-927B-D78387E840C3.png","Thumbnail Image")</f>
      </c>
      <c r="V1391" s="0">
        <f>HYPERLINK("https://ec-qa-storage.kldlms.com/ItemGallery/08DD1468-83B7-40F8-8BB7-2C6D68480C1B/E01D1E86-C70C-4A2C-91A9-76F35B4658AB.jpg","Gallery Image ")</f>
      </c>
      <c r="W1391" s="0" t="s">
        <v>22</v>
      </c>
    </row>
    <row r="1392">
      <c r="P1392" s="0" t="s">
        <v>593</v>
      </c>
      <c r="Q1392" s="0" t="s">
        <v>32</v>
      </c>
      <c r="R1392" s="0" t="s">
        <v>3535</v>
      </c>
      <c r="S1392" s="0" t="s">
        <v>32</v>
      </c>
      <c r="T1392" s="0">
        <f>HYPERLINK("https://ec-qa-storage.kldlms.com/ItemVariation/08DD1468-83B7-40F8-8BB7-2C6D68480C1B/8F041A2F-A933-4D16-8E51-4FC8D1291C6F.jpeg","Variant Image")</f>
      </c>
    </row>
    <row r="1393">
      <c r="P1393" s="0" t="s">
        <v>1016</v>
      </c>
      <c r="Q1393" s="0" t="s">
        <v>32</v>
      </c>
      <c r="R1393" s="0" t="s">
        <v>3541</v>
      </c>
      <c r="S1393" s="0" t="s">
        <v>32</v>
      </c>
      <c r="T1393" s="0">
        <f>HYPERLINK("https://ec-qa-storage.kldlms.com/ItemVariation/08DD1468-83B7-40F8-8BB7-2C6D68480C1B/2658D31F-08A5-42CF-B120-F573841E94CD.png","Variant Image")</f>
      </c>
    </row>
    <row r="1394">
      <c r="A1394" s="0" t="s">
        <v>4255</v>
      </c>
      <c r="B1394" s="0" t="s">
        <v>4255</v>
      </c>
      <c r="C1394" s="0" t="s">
        <v>4256</v>
      </c>
      <c r="D1394" s="0" t="s">
        <v>27</v>
      </c>
      <c r="E1394" s="0" t="s">
        <v>3526</v>
      </c>
      <c r="F1394" s="0" t="s">
        <v>3137</v>
      </c>
      <c r="G1394" s="0" t="s">
        <v>4255</v>
      </c>
      <c r="H1394" s="0" t="s">
        <v>4255</v>
      </c>
      <c r="I1394" s="0" t="s">
        <v>5088</v>
      </c>
      <c r="J1394" s="0" t="s">
        <v>5088</v>
      </c>
      <c r="K1394" s="0" t="s">
        <v>4257</v>
      </c>
      <c r="L1394" s="0" t="s">
        <v>32</v>
      </c>
      <c r="M1394" s="0" t="s">
        <v>61</v>
      </c>
      <c r="N1394" s="0" t="s">
        <v>32</v>
      </c>
      <c r="O1394" s="0" t="s">
        <v>35</v>
      </c>
      <c r="P1394" s="0" t="s">
        <v>527</v>
      </c>
      <c r="Q1394" s="0" t="s">
        <v>4257</v>
      </c>
      <c r="R1394" s="0" t="s">
        <v>4256</v>
      </c>
      <c r="S1394" s="0" t="s">
        <v>32</v>
      </c>
      <c r="T1394" s="0">
        <f>HYPERLINK("https://ec-qa-storage.kldlms.com/ItemVariation/08DD1468-83EA-4155-8026-1D05C641E2F1/B52B54ED-5271-4CC1-BA17-F187AF4372A0.jpg","Variant Image")</f>
      </c>
      <c r="U1394" s="0">
        <f>HYPERLINK("https://ec-qa-storage.kldlms.com/Item/08DD1468-83EA-4155-8026-1D05C641E2F1/9F5DBAB0-38C7-4BA2-BEFC-9E75B59E5A0F.jpg","Thumbnail Image")</f>
      </c>
      <c r="V1394" s="0">
        <f>HYPERLINK("https://ec-qa-storage.kldlms.com/ItemGallery/08DD1468-83EA-4155-8026-1D05C641E2F1/D09CE6FB-27F9-4AFE-8B88-8B4FA8F29C5B.jpg","Gallery Image ")</f>
      </c>
      <c r="W1394" s="0" t="s">
        <v>22</v>
      </c>
    </row>
    <row r="1395">
      <c r="P1395" s="0" t="s">
        <v>1016</v>
      </c>
      <c r="Q1395" s="0" t="s">
        <v>4257</v>
      </c>
      <c r="R1395" s="0" t="s">
        <v>4261</v>
      </c>
      <c r="S1395" s="0" t="s">
        <v>32</v>
      </c>
      <c r="T1395" s="0">
        <f>HYPERLINK("https://ec-qa-storage.kldlms.com/ItemVariation/08DD1468-83EA-4155-8026-1D05C641E2F1/DBDEFEDC-2016-4D6C-ACDC-CD3D9F8E42DF.jpg","Variant Image")</f>
      </c>
    </row>
    <row r="1396">
      <c r="A1396" s="0" t="s">
        <v>5089</v>
      </c>
      <c r="B1396" s="0" t="s">
        <v>5089</v>
      </c>
      <c r="C1396" s="0" t="s">
        <v>5090</v>
      </c>
      <c r="D1396" s="0" t="s">
        <v>27</v>
      </c>
      <c r="E1396" s="0" t="s">
        <v>3526</v>
      </c>
      <c r="F1396" s="0" t="s">
        <v>3137</v>
      </c>
      <c r="G1396" s="0" t="s">
        <v>5089</v>
      </c>
      <c r="H1396" s="0" t="s">
        <v>5089</v>
      </c>
      <c r="I1396" s="0" t="s">
        <v>5091</v>
      </c>
      <c r="J1396" s="0" t="s">
        <v>5091</v>
      </c>
      <c r="K1396" s="0" t="s">
        <v>3808</v>
      </c>
      <c r="L1396" s="0" t="s">
        <v>32</v>
      </c>
      <c r="M1396" s="0" t="s">
        <v>61</v>
      </c>
      <c r="N1396" s="0" t="s">
        <v>32</v>
      </c>
      <c r="O1396" s="0" t="s">
        <v>35</v>
      </c>
      <c r="P1396" s="0" t="s">
        <v>527</v>
      </c>
      <c r="Q1396" s="0" t="s">
        <v>3808</v>
      </c>
      <c r="R1396" s="0" t="s">
        <v>5090</v>
      </c>
      <c r="S1396" s="0" t="s">
        <v>32</v>
      </c>
      <c r="T1396" s="0">
        <f>HYPERLINK("https://ec-qa-storage.kldlms.com/ItemVariation/08DD1468-8405-49FD-8C96-F4916934EDAE/334F84C1-1983-462F-B92D-EB53C5BED089.jpg","Variant Image")</f>
      </c>
      <c r="U1396" s="0">
        <f>HYPERLINK("https://ec-qa-storage.kldlms.com/Item/08DD1468-8405-49FD-8C96-F4916934EDAE/18564F6E-850E-4ADE-BB14-B02D46C1B90F.jpg","Thumbnail Image")</f>
      </c>
      <c r="V1396" s="0">
        <f>HYPERLINK("https://ec-qa-storage.kldlms.com/ItemGallery/08DD1468-8405-49FD-8C96-F4916934EDAE/AD571230-DA77-4C39-A893-C85D6F9CE764.jpg","Gallery Image ")</f>
      </c>
      <c r="W1396" s="0" t="s">
        <v>22</v>
      </c>
    </row>
    <row r="1397">
      <c r="A1397" s="0" t="s">
        <v>5092</v>
      </c>
      <c r="B1397" s="0" t="s">
        <v>5092</v>
      </c>
      <c r="C1397" s="0" t="s">
        <v>5093</v>
      </c>
      <c r="D1397" s="0" t="s">
        <v>27</v>
      </c>
      <c r="E1397" s="0" t="s">
        <v>3526</v>
      </c>
      <c r="F1397" s="0" t="s">
        <v>3137</v>
      </c>
      <c r="G1397" s="0" t="s">
        <v>5092</v>
      </c>
      <c r="H1397" s="0" t="s">
        <v>5092</v>
      </c>
      <c r="I1397" s="0" t="s">
        <v>5094</v>
      </c>
      <c r="J1397" s="0" t="s">
        <v>5094</v>
      </c>
      <c r="K1397" s="0" t="s">
        <v>3816</v>
      </c>
      <c r="L1397" s="0" t="s">
        <v>32</v>
      </c>
      <c r="M1397" s="0" t="s">
        <v>61</v>
      </c>
      <c r="N1397" s="0" t="s">
        <v>32</v>
      </c>
      <c r="O1397" s="0" t="s">
        <v>35</v>
      </c>
      <c r="P1397" s="0" t="s">
        <v>527</v>
      </c>
      <c r="Q1397" s="0" t="s">
        <v>3816</v>
      </c>
      <c r="R1397" s="0" t="s">
        <v>5093</v>
      </c>
      <c r="S1397" s="0" t="s">
        <v>32</v>
      </c>
      <c r="T1397" s="0">
        <f>HYPERLINK("https://ec-qa-storage.kldlms.com/ItemVariation/08DD1468-BF04-4FE7-8B5C-DEB00F901685/A6634CAC-F63D-4A34-839D-0AC14C59EC45.png","Variant Image")</f>
      </c>
      <c r="U1397" s="0">
        <f>HYPERLINK("https://ec-qa-storage.kldlms.com/Item/08DD1468-BF04-4FE7-8B5C-DEB00F901685/0645BD8C-05A4-416B-B68B-303B3898C7FA.png","Thumbnail Image")</f>
      </c>
      <c r="V1397" s="0">
        <f>HYPERLINK("https://ec-qa-storage.kldlms.com/ItemGallery/08DD1468-BF04-4FE7-8B5C-DEB00F901685/C2B932F1-8DA2-4DE5-AEFC-1CB3CF6FF220.jpg","Gallery Image ")</f>
      </c>
      <c r="W1397" s="0" t="s">
        <v>22</v>
      </c>
    </row>
    <row r="1398">
      <c r="A1398" s="0" t="s">
        <v>5095</v>
      </c>
      <c r="B1398" s="0" t="s">
        <v>5095</v>
      </c>
      <c r="C1398" s="0" t="s">
        <v>5096</v>
      </c>
      <c r="D1398" s="0" t="s">
        <v>27</v>
      </c>
      <c r="E1398" s="0" t="s">
        <v>3526</v>
      </c>
      <c r="F1398" s="0" t="s">
        <v>3137</v>
      </c>
      <c r="G1398" s="0" t="s">
        <v>5095</v>
      </c>
      <c r="H1398" s="0" t="s">
        <v>5095</v>
      </c>
      <c r="I1398" s="0" t="s">
        <v>5097</v>
      </c>
      <c r="J1398" s="0" t="s">
        <v>5097</v>
      </c>
      <c r="K1398" s="0" t="s">
        <v>1187</v>
      </c>
      <c r="L1398" s="0" t="s">
        <v>32</v>
      </c>
      <c r="M1398" s="0" t="s">
        <v>61</v>
      </c>
      <c r="N1398" s="0" t="s">
        <v>32</v>
      </c>
      <c r="O1398" s="0" t="s">
        <v>35</v>
      </c>
      <c r="P1398" s="0" t="s">
        <v>527</v>
      </c>
      <c r="Q1398" s="0" t="s">
        <v>1187</v>
      </c>
      <c r="R1398" s="0" t="s">
        <v>5096</v>
      </c>
      <c r="S1398" s="0" t="s">
        <v>32</v>
      </c>
      <c r="T1398" s="0">
        <f>HYPERLINK("https://ec-qa-storage.kldlms.com/ItemVariation/08DD1468-BF9E-4C84-8149-AA8D530A4E5A/4403170C-A1D3-475B-93C6-ACA8DC0C80DF.jpg","Variant Image")</f>
      </c>
      <c r="U1398" s="0">
        <f>HYPERLINK("https://ec-qa-storage.kldlms.com/Item/08DD1468-BF9E-4C84-8149-AA8D530A4E5A/8BD7B47B-BADD-43A1-8B74-235151952E3A.jpg","Thumbnail Image")</f>
      </c>
      <c r="V1398" s="0">
        <f>HYPERLINK("https://ec-qa-storage.kldlms.com/ItemGallery/08DD1468-BF9E-4C84-8149-AA8D530A4E5A/61952D8F-2C17-4C2F-9FE9-AA5199E880DB.jpg","Gallery Image ")</f>
      </c>
      <c r="W1398" s="0" t="s">
        <v>22</v>
      </c>
    </row>
    <row r="1399">
      <c r="A1399" s="0" t="s">
        <v>3485</v>
      </c>
      <c r="B1399" s="0" t="s">
        <v>3485</v>
      </c>
      <c r="C1399" s="0" t="s">
        <v>3486</v>
      </c>
      <c r="D1399" s="0" t="s">
        <v>27</v>
      </c>
      <c r="E1399" s="0" t="s">
        <v>3155</v>
      </c>
      <c r="F1399" s="0" t="s">
        <v>3137</v>
      </c>
      <c r="G1399" s="0" t="s">
        <v>3485</v>
      </c>
      <c r="H1399" s="0" t="s">
        <v>3485</v>
      </c>
      <c r="I1399" s="0" t="s">
        <v>4954</v>
      </c>
      <c r="J1399" s="0" t="s">
        <v>4954</v>
      </c>
      <c r="K1399" s="0" t="s">
        <v>3487</v>
      </c>
      <c r="L1399" s="0" t="s">
        <v>32</v>
      </c>
      <c r="M1399" s="0" t="s">
        <v>61</v>
      </c>
      <c r="N1399" s="0" t="s">
        <v>32</v>
      </c>
      <c r="O1399" s="0" t="s">
        <v>35</v>
      </c>
      <c r="P1399" s="0" t="s">
        <v>527</v>
      </c>
      <c r="Q1399" s="0" t="s">
        <v>3487</v>
      </c>
      <c r="R1399" s="0" t="s">
        <v>3486</v>
      </c>
      <c r="S1399" s="0" t="s">
        <v>32</v>
      </c>
      <c r="T1399" s="0">
        <f>HYPERLINK("https://ec-qa-storage.kldlms.com/ItemVariation/08DD1469-321E-4298-8152-55866400BE65/C0ADBEF6-62DF-4B35-8F3F-1CED4B1775EE.jpg","Variant Image")</f>
      </c>
      <c r="U1399" s="0">
        <f>HYPERLINK("https://ec-qa-storage.kldlms.com/Item/08DD1469-321E-4298-8152-55866400BE65/05E4CDD7-DA92-423D-875E-02A93681109B.jpg","Thumbnail Image")</f>
      </c>
      <c r="V1399" s="0">
        <f>HYPERLINK("https://ec-qa-storage.kldlms.com/ItemGallery/08DD1469-321E-4298-8152-55866400BE65/8484F3C4-9DF9-444E-A83C-18ED26892A5F.jpg","Gallery Image ")</f>
      </c>
      <c r="W1399" s="0" t="s">
        <v>22</v>
      </c>
    </row>
    <row r="1400">
      <c r="P1400" s="0" t="s">
        <v>1016</v>
      </c>
      <c r="Q1400" s="0" t="s">
        <v>3487</v>
      </c>
      <c r="R1400" s="0" t="s">
        <v>3483</v>
      </c>
      <c r="S1400" s="0" t="s">
        <v>32</v>
      </c>
      <c r="T1400" s="0">
        <f>HYPERLINK("https://ec-qa-storage.kldlms.com/ItemVariation/08DD1469-321E-4298-8152-55866400BE65/79CDA8D2-EA44-4423-8DDB-8A8D02D69E38.png","Variant Image")</f>
      </c>
    </row>
    <row r="1401">
      <c r="P1401" s="0" t="s">
        <v>121</v>
      </c>
      <c r="Q1401" s="0" t="s">
        <v>3487</v>
      </c>
      <c r="R1401" s="0" t="s">
        <v>5098</v>
      </c>
      <c r="S1401" s="0" t="s">
        <v>32</v>
      </c>
      <c r="T1401" s="0">
        <f>HYPERLINK("https://ec-qa-storage.kldlms.com/ItemVariation/08DD1469-321E-4298-8152-55866400BE65/50376E08-1567-4035-A66D-0541C1E949B1.jpg","Variant Image")</f>
      </c>
    </row>
    <row r="1402">
      <c r="P1402" s="0" t="s">
        <v>593</v>
      </c>
      <c r="Q1402" s="0" t="s">
        <v>3487</v>
      </c>
      <c r="R1402" s="0" t="s">
        <v>3478</v>
      </c>
      <c r="S1402" s="0" t="s">
        <v>32</v>
      </c>
      <c r="T1402" s="0">
        <f>HYPERLINK("https://ec-qa-storage.kldlms.com/ItemVariation/08DD1469-321E-4298-8152-55866400BE65/BD3D0047-C708-40B3-889F-2C562B798938.jpg","Variant Image")</f>
      </c>
    </row>
    <row r="1403">
      <c r="A1403" s="0" t="s">
        <v>3763</v>
      </c>
      <c r="B1403" s="0" t="s">
        <v>3763</v>
      </c>
      <c r="C1403" s="0" t="s">
        <v>3764</v>
      </c>
      <c r="D1403" s="0" t="s">
        <v>27</v>
      </c>
      <c r="E1403" s="0" t="s">
        <v>4898</v>
      </c>
      <c r="F1403" s="0" t="s">
        <v>3137</v>
      </c>
      <c r="G1403" s="0" t="s">
        <v>3763</v>
      </c>
      <c r="H1403" s="0" t="s">
        <v>3763</v>
      </c>
      <c r="I1403" s="0" t="s">
        <v>5099</v>
      </c>
      <c r="J1403" s="0" t="s">
        <v>5099</v>
      </c>
      <c r="K1403" s="0" t="s">
        <v>3766</v>
      </c>
      <c r="L1403" s="0" t="s">
        <v>32</v>
      </c>
      <c r="M1403" s="0" t="s">
        <v>61</v>
      </c>
      <c r="N1403" s="0" t="s">
        <v>32</v>
      </c>
      <c r="O1403" s="0" t="s">
        <v>35</v>
      </c>
      <c r="P1403" s="0" t="s">
        <v>593</v>
      </c>
      <c r="Q1403" s="0" t="s">
        <v>3766</v>
      </c>
      <c r="R1403" s="0" t="s">
        <v>3764</v>
      </c>
      <c r="S1403" s="0" t="s">
        <v>32</v>
      </c>
      <c r="T1403" s="0">
        <f>HYPERLINK("https://ec-qa-storage.kldlms.com/ItemVariation/08DD1469-328B-4146-8A4D-160995BD7347/785FBCAE-061A-4DEC-B0DF-6CA6C882FB1E.jpg","Variant Image")</f>
      </c>
      <c r="U1403" s="0">
        <f>HYPERLINK("https://ec-qa-storage.kldlms.com/Item/08DD1469-328B-4146-8A4D-160995BD7347/3008ED20-AB60-47FC-8885-9D3485512A4C.jpg","Thumbnail Image")</f>
      </c>
      <c r="V1403" s="0">
        <f>HYPERLINK("https://ec-qa-storage.kldlms.com/ItemGallery/08DD1469-328B-4146-8A4D-160995BD7347/DE1760C5-4C69-44DB-9EA8-DD58EBAACEFA.png","Gallery Image ")</f>
      </c>
      <c r="W1403" s="0" t="s">
        <v>22</v>
      </c>
    </row>
    <row r="1404">
      <c r="P1404" s="0" t="s">
        <v>1016</v>
      </c>
      <c r="Q1404" s="0" t="s">
        <v>3766</v>
      </c>
      <c r="R1404" s="0" t="s">
        <v>3770</v>
      </c>
      <c r="S1404" s="0" t="s">
        <v>32</v>
      </c>
      <c r="T1404" s="0">
        <f>HYPERLINK("https://ec-qa-storage.kldlms.com/ItemVariation/08DD1469-328B-4146-8A4D-160995BD7347/B9063A6D-1CD7-4774-9791-DAE70BAA8658.jpg","Variant Image")</f>
      </c>
    </row>
    <row r="1405">
      <c r="A1405" s="0" t="s">
        <v>3772</v>
      </c>
      <c r="B1405" s="0" t="s">
        <v>3772</v>
      </c>
      <c r="C1405" s="0" t="s">
        <v>3773</v>
      </c>
      <c r="D1405" s="0" t="s">
        <v>27</v>
      </c>
      <c r="E1405" s="0" t="s">
        <v>4898</v>
      </c>
      <c r="F1405" s="0" t="s">
        <v>3137</v>
      </c>
      <c r="G1405" s="0" t="s">
        <v>3772</v>
      </c>
      <c r="H1405" s="0" t="s">
        <v>3772</v>
      </c>
      <c r="I1405" s="0" t="s">
        <v>5100</v>
      </c>
      <c r="J1405" s="0" t="s">
        <v>5100</v>
      </c>
      <c r="K1405" s="0" t="s">
        <v>3774</v>
      </c>
      <c r="L1405" s="0" t="s">
        <v>32</v>
      </c>
      <c r="M1405" s="0" t="s">
        <v>61</v>
      </c>
      <c r="N1405" s="0" t="s">
        <v>32</v>
      </c>
      <c r="O1405" s="0" t="s">
        <v>35</v>
      </c>
      <c r="P1405" s="0" t="s">
        <v>593</v>
      </c>
      <c r="Q1405" s="0" t="s">
        <v>3774</v>
      </c>
      <c r="R1405" s="0" t="s">
        <v>3773</v>
      </c>
      <c r="S1405" s="0" t="s">
        <v>32</v>
      </c>
      <c r="T1405" s="0">
        <f>HYPERLINK("https://ec-qa-storage.kldlms.com/ItemVariation/08DD1469-32C6-4388-868E-4883CA36E2D5/F52F3A1E-CE5A-4DE9-BA91-7E9BA44392D7.png","Variant Image")</f>
      </c>
      <c r="U1405" s="0">
        <f>HYPERLINK("https://ec-qa-storage.kldlms.com/Item/08DD1469-32C6-4388-868E-4883CA36E2D5/5B5870C1-C587-4862-B1F8-368EEFFD0226.png","Thumbnail Image")</f>
      </c>
      <c r="V1405" s="0">
        <f>HYPERLINK("https://ec-qa-storage.kldlms.com/ItemGallery/08DD1469-32C6-4388-868E-4883CA36E2D5/B6CCE5F3-5403-4239-8C2B-85046DBFE1CE.png","Gallery Image ")</f>
      </c>
      <c r="W1405" s="0" t="s">
        <v>22</v>
      </c>
    </row>
    <row r="1406">
      <c r="P1406" s="0" t="s">
        <v>1016</v>
      </c>
      <c r="Q1406" s="0" t="s">
        <v>3774</v>
      </c>
      <c r="R1406" s="0" t="s">
        <v>3778</v>
      </c>
      <c r="S1406" s="0" t="s">
        <v>32</v>
      </c>
      <c r="T1406" s="0">
        <f>HYPERLINK("https://ec-qa-storage.kldlms.com/ItemVariation/08DD1469-32C6-4388-868E-4883CA36E2D5/2B44B40A-3FB7-4D80-9B86-4F6BE7967165.jpg","Variant Image")</f>
      </c>
    </row>
    <row r="1407">
      <c r="A1407" s="0" t="s">
        <v>3576</v>
      </c>
      <c r="B1407" s="0" t="s">
        <v>3576</v>
      </c>
      <c r="C1407" s="0" t="s">
        <v>3577</v>
      </c>
      <c r="D1407" s="0" t="s">
        <v>4946</v>
      </c>
      <c r="E1407" s="0" t="s">
        <v>3113</v>
      </c>
      <c r="F1407" s="0" t="s">
        <v>3137</v>
      </c>
      <c r="G1407" s="0" t="s">
        <v>3576</v>
      </c>
      <c r="H1407" s="0" t="s">
        <v>3576</v>
      </c>
      <c r="I1407" s="0" t="s">
        <v>5101</v>
      </c>
      <c r="J1407" s="0" t="s">
        <v>5101</v>
      </c>
      <c r="K1407" s="0" t="s">
        <v>3578</v>
      </c>
      <c r="L1407" s="0" t="s">
        <v>32</v>
      </c>
      <c r="M1407" s="0" t="s">
        <v>61</v>
      </c>
      <c r="N1407" s="0" t="s">
        <v>32</v>
      </c>
      <c r="O1407" s="0" t="s">
        <v>35</v>
      </c>
      <c r="P1407" s="0" t="s">
        <v>35</v>
      </c>
      <c r="Q1407" s="0" t="s">
        <v>3578</v>
      </c>
      <c r="R1407" s="0" t="s">
        <v>3577</v>
      </c>
      <c r="S1407" s="0" t="s">
        <v>32</v>
      </c>
      <c r="T1407" s="0">
        <f>HYPERLINK("https://ec-qa-storage.kldlms.com/ItemVariation/08DD1469-8196-4328-812D-B20D70F179A4/F9757E2D-8A02-47BB-9B0D-089E84FD2BE5.jpg","Variant Image")</f>
      </c>
      <c r="U1407" s="0">
        <f>HYPERLINK("https://ec-qa-storage.kldlms.com/Item/08DD1469-8196-4328-812D-B20D70F179A4/9654ABC7-E2CA-46B3-82BD-97C560A33911.jpg","Thumbnail Image")</f>
      </c>
      <c r="V1407" s="0">
        <f>HYPERLINK("https://ec-qa-storage.kldlms.com/ItemGallery/08DD1469-8196-4328-812D-B20D70F179A4/BE9FF409-023B-4C69-AAE3-18CEE5FFCC8E.jpg","Gallery Image ")</f>
      </c>
      <c r="W1407" s="0" t="s">
        <v>22</v>
      </c>
    </row>
    <row r="1408">
      <c r="A1408" s="0" t="s">
        <v>3348</v>
      </c>
      <c r="B1408" s="0" t="s">
        <v>3348</v>
      </c>
      <c r="C1408" s="0" t="s">
        <v>3349</v>
      </c>
      <c r="D1408" s="0" t="s">
        <v>27</v>
      </c>
      <c r="E1408" s="0" t="s">
        <v>3136</v>
      </c>
      <c r="F1408" s="0" t="s">
        <v>3137</v>
      </c>
      <c r="G1408" s="0" t="s">
        <v>3348</v>
      </c>
      <c r="H1408" s="0" t="s">
        <v>3348</v>
      </c>
      <c r="I1408" s="0" t="s">
        <v>5102</v>
      </c>
      <c r="J1408" s="0" t="s">
        <v>5102</v>
      </c>
      <c r="K1408" s="0" t="s">
        <v>3350</v>
      </c>
      <c r="L1408" s="0" t="s">
        <v>32</v>
      </c>
      <c r="M1408" s="0" t="s">
        <v>61</v>
      </c>
      <c r="N1408" s="0" t="s">
        <v>32</v>
      </c>
      <c r="O1408" s="0" t="s">
        <v>35</v>
      </c>
      <c r="P1408" s="0" t="s">
        <v>527</v>
      </c>
      <c r="Q1408" s="0" t="s">
        <v>3350</v>
      </c>
      <c r="R1408" s="0" t="s">
        <v>3349</v>
      </c>
      <c r="S1408" s="0" t="s">
        <v>32</v>
      </c>
      <c r="T1408" s="0">
        <f>HYPERLINK("https://ec-qa-storage.kldlms.com/ItemVariation/08DD1469-81AF-4AF9-8A11-CEECEE8B0C90/A9B5D62C-38C0-4723-9679-2124481D0E84.jpg","Variant Image")</f>
      </c>
      <c r="U1408" s="0">
        <f>HYPERLINK("https://ec-qa-storage.kldlms.com/Item/08DD1469-81AF-4AF9-8A11-CEECEE8B0C90/520452B2-8A36-47EA-9645-BBF9A5E480B4.jpg","Thumbnail Image")</f>
      </c>
      <c r="V1408" s="0">
        <f>HYPERLINK("https://ec-qa-storage.kldlms.com/ItemGallery/08DD1469-81AF-4AF9-8A11-CEECEE8B0C90/6F5481D3-7890-44A4-9266-935B2FAB8346.jpg","Gallery Image ")</f>
      </c>
      <c r="W1408" s="0" t="s">
        <v>22</v>
      </c>
    </row>
    <row r="1409">
      <c r="A1409" s="0" t="s">
        <v>5103</v>
      </c>
      <c r="B1409" s="0" t="s">
        <v>5103</v>
      </c>
      <c r="C1409" s="0" t="s">
        <v>5104</v>
      </c>
      <c r="D1409" s="0" t="s">
        <v>27</v>
      </c>
      <c r="E1409" s="0" t="s">
        <v>3136</v>
      </c>
      <c r="F1409" s="0" t="s">
        <v>3137</v>
      </c>
      <c r="G1409" s="0" t="s">
        <v>5103</v>
      </c>
      <c r="H1409" s="0" t="s">
        <v>5103</v>
      </c>
      <c r="I1409" s="0" t="s">
        <v>5105</v>
      </c>
      <c r="J1409" s="0" t="s">
        <v>5105</v>
      </c>
      <c r="K1409" s="0" t="s">
        <v>3358</v>
      </c>
      <c r="L1409" s="0" t="s">
        <v>32</v>
      </c>
      <c r="M1409" s="0" t="s">
        <v>61</v>
      </c>
      <c r="N1409" s="0" t="s">
        <v>32</v>
      </c>
      <c r="O1409" s="0" t="s">
        <v>35</v>
      </c>
      <c r="P1409" s="0" t="s">
        <v>527</v>
      </c>
      <c r="Q1409" s="0" t="s">
        <v>3358</v>
      </c>
      <c r="R1409" s="0" t="s">
        <v>5104</v>
      </c>
      <c r="S1409" s="0" t="s">
        <v>32</v>
      </c>
      <c r="T1409" s="0">
        <f>HYPERLINK("https://ec-qa-storage.kldlms.com/ItemVariation/08DD1469-81CB-4792-8F79-FDA38866FA96/0EAF1450-FFAD-4F01-8C17-C509401412EB.jpg","Variant Image")</f>
      </c>
      <c r="U1409" s="0">
        <f>HYPERLINK("https://ec-qa-storage.kldlms.com/Item/08DD1469-81CB-4792-8F79-FDA38866FA96/364D28C0-8D62-425C-8277-11AB2F4F5688.webp","Thumbnail Image")</f>
      </c>
      <c r="V1409" s="0">
        <f>HYPERLINK("https://ec-qa-storage.kldlms.com/ItemGallery/08DD1469-81CB-4792-8F79-FDA38866FA96/2DDCBBF3-F9DC-43D7-83EA-A3AA24526133.jpg","Gallery Image ")</f>
      </c>
      <c r="W1409" s="0" t="s">
        <v>22</v>
      </c>
    </row>
    <row r="1410">
      <c r="A1410" s="0" t="s">
        <v>3353</v>
      </c>
      <c r="B1410" s="0" t="s">
        <v>3353</v>
      </c>
      <c r="C1410" s="0" t="s">
        <v>3354</v>
      </c>
      <c r="D1410" s="0" t="s">
        <v>27</v>
      </c>
      <c r="E1410" s="0" t="s">
        <v>3155</v>
      </c>
      <c r="F1410" s="0" t="s">
        <v>3137</v>
      </c>
      <c r="G1410" s="0" t="s">
        <v>3353</v>
      </c>
      <c r="H1410" s="0" t="s">
        <v>3353</v>
      </c>
      <c r="I1410" s="0" t="s">
        <v>5106</v>
      </c>
      <c r="J1410" s="0" t="s">
        <v>5106</v>
      </c>
      <c r="K1410" s="0" t="s">
        <v>880</v>
      </c>
      <c r="L1410" s="0" t="s">
        <v>32</v>
      </c>
      <c r="M1410" s="0" t="s">
        <v>61</v>
      </c>
      <c r="N1410" s="0" t="s">
        <v>32</v>
      </c>
      <c r="O1410" s="0" t="s">
        <v>35</v>
      </c>
      <c r="P1410" s="0" t="s">
        <v>527</v>
      </c>
      <c r="Q1410" s="0" t="s">
        <v>880</v>
      </c>
      <c r="R1410" s="0" t="s">
        <v>3354</v>
      </c>
      <c r="S1410" s="0" t="s">
        <v>32</v>
      </c>
      <c r="T1410" s="0">
        <f>HYPERLINK("https://ec-qa-storage.kldlms.com/ItemVariation/08DD1469-81DE-47EB-873F-258EDA9E8DF3/CBFE7A3A-B7DF-40D3-915A-2CCEA602703E.png","Variant Image")</f>
      </c>
      <c r="U1410" s="0">
        <f>HYPERLINK("https://ec-qa-storage.kldlms.com/Item/08DD1469-81DE-47EB-873F-258EDA9E8DF3/F319F432-B7F9-4F6B-87AA-3E700E04F66A.png","Thumbnail Image")</f>
      </c>
      <c r="V1410" s="0">
        <f>HYPERLINK("https://ec-qa-storage.kldlms.com/ItemGallery/08DD1469-81DE-47EB-873F-258EDA9E8DF3/7D0A6592-78AF-4383-9BB4-7B4A194E1437.png","Gallery Image ")</f>
      </c>
      <c r="W1410" s="0" t="s">
        <v>22</v>
      </c>
    </row>
    <row r="1411">
      <c r="A1411" s="0" t="s">
        <v>3356</v>
      </c>
      <c r="B1411" s="0" t="s">
        <v>3356</v>
      </c>
      <c r="C1411" s="0" t="s">
        <v>3357</v>
      </c>
      <c r="D1411" s="0" t="s">
        <v>27</v>
      </c>
      <c r="E1411" s="0" t="s">
        <v>3155</v>
      </c>
      <c r="F1411" s="0" t="s">
        <v>3137</v>
      </c>
      <c r="G1411" s="0" t="s">
        <v>3356</v>
      </c>
      <c r="H1411" s="0" t="s">
        <v>3356</v>
      </c>
      <c r="I1411" s="0" t="s">
        <v>5107</v>
      </c>
      <c r="J1411" s="0" t="s">
        <v>5107</v>
      </c>
      <c r="K1411" s="0" t="s">
        <v>3358</v>
      </c>
      <c r="L1411" s="0" t="s">
        <v>32</v>
      </c>
      <c r="M1411" s="0" t="s">
        <v>61</v>
      </c>
      <c r="N1411" s="0" t="s">
        <v>32</v>
      </c>
      <c r="O1411" s="0" t="s">
        <v>35</v>
      </c>
      <c r="P1411" s="0" t="s">
        <v>527</v>
      </c>
      <c r="Q1411" s="0" t="s">
        <v>3358</v>
      </c>
      <c r="R1411" s="0" t="s">
        <v>3357</v>
      </c>
      <c r="S1411" s="0" t="s">
        <v>32</v>
      </c>
      <c r="T1411" s="0">
        <f>HYPERLINK("https://ec-qa-storage.kldlms.com/ItemVariation/08DD1469-81F1-414C-84A8-881C6E7634C8/A40CA036-A74E-4320-8B21-F6BD06C61CBF.png","Variant Image")</f>
      </c>
      <c r="U1411" s="0">
        <f>HYPERLINK("https://ec-qa-storage.kldlms.com/Item/08DD1469-81F1-414C-84A8-881C6E7634C8/B1993764-C799-4730-B22C-2A5854FAF08E.png","Thumbnail Image")</f>
      </c>
      <c r="V1411" s="0">
        <f>HYPERLINK("https://ec-qa-storage.kldlms.com/ItemGallery/08DD1469-81F1-414C-84A8-881C6E7634C8/CC824FE6-173E-4D37-BCE3-EA35EB66AA48.png","Gallery Image ")</f>
      </c>
      <c r="W1411" s="0" t="s">
        <v>22</v>
      </c>
    </row>
    <row r="1412">
      <c r="A1412" s="0" t="s">
        <v>5108</v>
      </c>
      <c r="B1412" s="0" t="s">
        <v>5108</v>
      </c>
      <c r="C1412" s="0" t="s">
        <v>5109</v>
      </c>
      <c r="D1412" s="0" t="s">
        <v>27</v>
      </c>
      <c r="E1412" s="0" t="s">
        <v>3136</v>
      </c>
      <c r="F1412" s="0" t="s">
        <v>3137</v>
      </c>
      <c r="G1412" s="0" t="s">
        <v>5108</v>
      </c>
      <c r="H1412" s="0" t="s">
        <v>5108</v>
      </c>
      <c r="I1412" s="0" t="s">
        <v>5110</v>
      </c>
      <c r="J1412" s="0" t="s">
        <v>5110</v>
      </c>
      <c r="K1412" s="0" t="s">
        <v>4393</v>
      </c>
      <c r="L1412" s="0" t="s">
        <v>32</v>
      </c>
      <c r="M1412" s="0" t="s">
        <v>61</v>
      </c>
      <c r="N1412" s="0" t="s">
        <v>32</v>
      </c>
      <c r="O1412" s="0" t="s">
        <v>35</v>
      </c>
      <c r="P1412" s="0" t="s">
        <v>527</v>
      </c>
      <c r="Q1412" s="0" t="s">
        <v>4393</v>
      </c>
      <c r="R1412" s="0" t="s">
        <v>5109</v>
      </c>
      <c r="S1412" s="0" t="s">
        <v>32</v>
      </c>
      <c r="T1412" s="0">
        <f>HYPERLINK("https://ec-qa-storage.kldlms.com/ItemVariation/08DD1469-8201-4E8A-8198-7DA09CE9BE06/D30B7CC2-3200-4B96-B506-BEAE1EE043D0.png","Variant Image")</f>
      </c>
      <c r="U1412" s="0">
        <f>HYPERLINK("https://ec-qa-storage.kldlms.com/Item/08DD1469-8201-4E8A-8198-7DA09CE9BE06/6C9093F6-81E4-4E2F-86D5-A617A10EEF52.png","Thumbnail Image")</f>
      </c>
      <c r="V1412" s="0">
        <f>HYPERLINK("https://ec-qa-storage.kldlms.com/ItemGallery/08DD1469-8201-4E8A-8198-7DA09CE9BE06/308C5801-6FB5-4E49-A538-947D3CBEAD81.png","Gallery Image ")</f>
      </c>
      <c r="W1412" s="0" t="s">
        <v>22</v>
      </c>
    </row>
    <row r="1413">
      <c r="P1413" s="0" t="s">
        <v>593</v>
      </c>
      <c r="Q1413" s="0" t="s">
        <v>4393</v>
      </c>
      <c r="R1413" s="0" t="s">
        <v>5111</v>
      </c>
      <c r="S1413" s="0" t="s">
        <v>32</v>
      </c>
      <c r="T1413" s="0">
        <f>HYPERLINK("https://ec-qa-storage.kldlms.com/ItemVariation/08DD1469-8201-4E8A-8198-7DA09CE9BE06/ED2E3CE0-A069-4F15-AD76-D3FC68BC7636.jpg","Variant Image")</f>
      </c>
    </row>
    <row r="1414">
      <c r="A1414" s="0" t="s">
        <v>3735</v>
      </c>
      <c r="B1414" s="0" t="s">
        <v>3735</v>
      </c>
      <c r="C1414" s="0" t="s">
        <v>3736</v>
      </c>
      <c r="D1414" s="0" t="s">
        <v>27</v>
      </c>
      <c r="E1414" s="0" t="s">
        <v>3155</v>
      </c>
      <c r="F1414" s="0" t="s">
        <v>3137</v>
      </c>
      <c r="G1414" s="0" t="s">
        <v>3735</v>
      </c>
      <c r="H1414" s="0" t="s">
        <v>3735</v>
      </c>
      <c r="I1414" s="0" t="s">
        <v>5112</v>
      </c>
      <c r="J1414" s="0" t="s">
        <v>5112</v>
      </c>
      <c r="K1414" s="0" t="s">
        <v>3737</v>
      </c>
      <c r="L1414" s="0" t="s">
        <v>32</v>
      </c>
      <c r="M1414" s="0" t="s">
        <v>61</v>
      </c>
      <c r="N1414" s="0" t="s">
        <v>32</v>
      </c>
      <c r="O1414" s="0" t="s">
        <v>35</v>
      </c>
      <c r="P1414" s="0" t="s">
        <v>527</v>
      </c>
      <c r="Q1414" s="0" t="s">
        <v>3737</v>
      </c>
      <c r="R1414" s="0" t="s">
        <v>3736</v>
      </c>
      <c r="S1414" s="0" t="s">
        <v>32</v>
      </c>
      <c r="T1414" s="0">
        <f>HYPERLINK("https://ec-qa-storage.kldlms.com/ItemVariation/08DD1469-8233-4C6F-8D86-E8A2DFC16B3F/611EBBA7-1872-432F-9104-A5AC24CF35C8.jpg","Variant Image")</f>
      </c>
      <c r="U1414" s="0">
        <f>HYPERLINK("https://ec-qa-storage.kldlms.com/Item/08DD1469-8233-4C6F-8D86-E8A2DFC16B3F/E0C9C1FD-DAD1-45D9-80D3-E0A214DF2C62.jpg","Thumbnail Image")</f>
      </c>
      <c r="V1414" s="0">
        <f>HYPERLINK("https://ec-qa-storage.kldlms.com/ItemGallery/08DD1469-8233-4C6F-8D86-E8A2DFC16B3F/A2B28372-4D4D-49AD-BDDC-FA40B6D55A66.jpg","Gallery Image ")</f>
      </c>
      <c r="W1414" s="0" t="s">
        <v>22</v>
      </c>
    </row>
    <row r="1415">
      <c r="P1415" s="0" t="s">
        <v>1016</v>
      </c>
      <c r="Q1415" s="0" t="s">
        <v>3737</v>
      </c>
      <c r="R1415" s="0" t="s">
        <v>3741</v>
      </c>
      <c r="S1415" s="0" t="s">
        <v>32</v>
      </c>
      <c r="T1415" s="0">
        <f>HYPERLINK("https://ec-qa-storage.kldlms.com/ItemVariation/08DD1469-8233-4C6F-8D86-E8A2DFC16B3F/54B8905F-D1FF-4310-ACF1-568FD86711A4.jpg","Variant Image")</f>
      </c>
    </row>
    <row r="1416">
      <c r="P1416" s="0" t="s">
        <v>3401</v>
      </c>
      <c r="Q1416" s="0" t="s">
        <v>3737</v>
      </c>
      <c r="R1416" s="0" t="s">
        <v>3744</v>
      </c>
      <c r="S1416" s="0" t="s">
        <v>32</v>
      </c>
      <c r="T1416" s="0">
        <f>HYPERLINK("https://ec-qa-storage.kldlms.com/ItemVariation/08DD1469-8233-4C6F-8D86-E8A2DFC16B3F/D475EED2-361C-4D21-A8E7-5942E4D88E6E.jpg","Variant Image")</f>
      </c>
    </row>
    <row r="1417">
      <c r="P1417" s="0" t="s">
        <v>121</v>
      </c>
      <c r="Q1417" s="0" t="s">
        <v>3737</v>
      </c>
      <c r="R1417" s="0" t="s">
        <v>3749</v>
      </c>
      <c r="S1417" s="0" t="s">
        <v>32</v>
      </c>
      <c r="T1417" s="0">
        <f>HYPERLINK("https://ec-qa-storage.kldlms.com/ItemVariation/08DD1469-8233-4C6F-8D86-E8A2DFC16B3F/DA6FB02D-33B2-4C99-9E20-C08F7CD196EF.jpg","Variant Image")</f>
      </c>
    </row>
    <row r="1418">
      <c r="A1418" s="0" t="s">
        <v>3753</v>
      </c>
      <c r="B1418" s="0" t="s">
        <v>3753</v>
      </c>
      <c r="C1418" s="0" t="s">
        <v>3754</v>
      </c>
      <c r="D1418" s="0" t="s">
        <v>27</v>
      </c>
      <c r="E1418" s="0" t="s">
        <v>3155</v>
      </c>
      <c r="F1418" s="0" t="s">
        <v>3137</v>
      </c>
      <c r="G1418" s="0" t="s">
        <v>3753</v>
      </c>
      <c r="H1418" s="0" t="s">
        <v>3753</v>
      </c>
      <c r="I1418" s="0" t="s">
        <v>5112</v>
      </c>
      <c r="J1418" s="0" t="s">
        <v>5112</v>
      </c>
      <c r="K1418" s="0" t="s">
        <v>287</v>
      </c>
      <c r="L1418" s="0" t="s">
        <v>32</v>
      </c>
      <c r="M1418" s="0" t="s">
        <v>61</v>
      </c>
      <c r="N1418" s="0" t="s">
        <v>32</v>
      </c>
      <c r="O1418" s="0" t="s">
        <v>35</v>
      </c>
      <c r="P1418" s="0" t="s">
        <v>527</v>
      </c>
      <c r="Q1418" s="0" t="s">
        <v>287</v>
      </c>
      <c r="R1418" s="0" t="s">
        <v>3754</v>
      </c>
      <c r="S1418" s="0" t="s">
        <v>32</v>
      </c>
      <c r="T1418" s="0">
        <f>HYPERLINK("https://ec-qa-storage.kldlms.com/ItemVariation/08DD1469-829A-46DB-852A-DEE61C9452CB/378DA084-F67E-4455-8BFD-11FD96ECB328.jpg","Variant Image")</f>
      </c>
      <c r="U1418" s="0">
        <f>HYPERLINK("https://ec-qa-storage.kldlms.com/Item/08DD1469-829A-46DB-852A-DEE61C9452CB/E513D130-BE60-4B40-98C7-1AA3C07D067A.jpg","Thumbnail Image")</f>
      </c>
      <c r="V1418" s="0">
        <f>HYPERLINK("https://ec-qa-storage.kldlms.com/ItemGallery/08DD1469-829A-46DB-852A-DEE61C9452CB/BA341734-BAFA-4987-82FF-1F1CA9C4F1E8.jpg","Gallery Image ")</f>
      </c>
      <c r="W1418" s="0" t="s">
        <v>22</v>
      </c>
    </row>
    <row r="1419">
      <c r="P1419" s="0" t="s">
        <v>121</v>
      </c>
      <c r="Q1419" s="0" t="s">
        <v>287</v>
      </c>
      <c r="R1419" s="0" t="s">
        <v>3758</v>
      </c>
      <c r="S1419" s="0" t="s">
        <v>32</v>
      </c>
      <c r="T1419" s="0">
        <f>HYPERLINK("https://ec-qa-storage.kldlms.com/ItemVariation/08DD1469-829A-46DB-852A-DEE61C9452CB/61396163-0789-4A32-B4B0-E85A0A39A16F.webp","Variant Image")</f>
      </c>
    </row>
    <row r="1420">
      <c r="A1420" s="0" t="s">
        <v>5113</v>
      </c>
      <c r="B1420" s="0" t="s">
        <v>5113</v>
      </c>
      <c r="C1420" s="0" t="s">
        <v>5114</v>
      </c>
      <c r="D1420" s="0" t="s">
        <v>27</v>
      </c>
      <c r="E1420" s="0" t="s">
        <v>3526</v>
      </c>
      <c r="F1420" s="0" t="s">
        <v>3137</v>
      </c>
      <c r="G1420" s="0" t="s">
        <v>5113</v>
      </c>
      <c r="H1420" s="0" t="s">
        <v>5113</v>
      </c>
      <c r="I1420" s="0" t="s">
        <v>5115</v>
      </c>
      <c r="J1420" s="0" t="s">
        <v>5115</v>
      </c>
      <c r="K1420" s="0" t="s">
        <v>3258</v>
      </c>
      <c r="L1420" s="0" t="s">
        <v>32</v>
      </c>
      <c r="M1420" s="0" t="s">
        <v>61</v>
      </c>
      <c r="N1420" s="0" t="s">
        <v>32</v>
      </c>
      <c r="O1420" s="0" t="s">
        <v>35</v>
      </c>
      <c r="P1420" s="0" t="s">
        <v>1016</v>
      </c>
      <c r="Q1420" s="0" t="s">
        <v>3258</v>
      </c>
      <c r="R1420" s="0" t="s">
        <v>5114</v>
      </c>
      <c r="S1420" s="0" t="s">
        <v>32</v>
      </c>
      <c r="T1420" s="0">
        <f>HYPERLINK("https://ec-qa-storage.kldlms.com/ItemVariation/08DD146A-F13B-4139-854C-35D95569B308/5C14ACE4-4A75-4D63-A3D2-5D4AF72CB8C5.webp","Variant Image")</f>
      </c>
      <c r="U1420" s="0">
        <f>HYPERLINK("https://ec-qa-storage.kldlms.com/Item/08DD146A-F13B-4139-854C-35D95569B308/709B0124-DFEE-4A3E-A734-01966290D7B4.webp","Thumbnail Image")</f>
      </c>
      <c r="V1420" s="0">
        <f>HYPERLINK("https://ec-qa-storage.kldlms.com/ItemGallery/08DD146A-F13B-4139-854C-35D95569B308/BD752F4C-CBF8-41BE-9E50-73D5089781CB.webp","Gallery Image ")</f>
      </c>
      <c r="W1420" s="0" t="s">
        <v>22</v>
      </c>
    </row>
    <row r="1421">
      <c r="A1421" s="0" t="s">
        <v>5116</v>
      </c>
      <c r="B1421" s="0" t="s">
        <v>5116</v>
      </c>
      <c r="C1421" s="0" t="s">
        <v>5117</v>
      </c>
      <c r="D1421" s="0" t="s">
        <v>27</v>
      </c>
      <c r="E1421" s="0" t="s">
        <v>3526</v>
      </c>
      <c r="F1421" s="0" t="s">
        <v>3137</v>
      </c>
      <c r="G1421" s="0" t="s">
        <v>5116</v>
      </c>
      <c r="H1421" s="0" t="s">
        <v>5116</v>
      </c>
      <c r="I1421" s="0" t="s">
        <v>5118</v>
      </c>
      <c r="J1421" s="0" t="s">
        <v>5118</v>
      </c>
      <c r="K1421" s="0" t="s">
        <v>3553</v>
      </c>
      <c r="L1421" s="0" t="s">
        <v>32</v>
      </c>
      <c r="M1421" s="0" t="s">
        <v>61</v>
      </c>
      <c r="N1421" s="0" t="s">
        <v>32</v>
      </c>
      <c r="O1421" s="0" t="s">
        <v>35</v>
      </c>
      <c r="P1421" s="0" t="s">
        <v>327</v>
      </c>
      <c r="Q1421" s="0" t="s">
        <v>3553</v>
      </c>
      <c r="R1421" s="0" t="s">
        <v>5117</v>
      </c>
      <c r="S1421" s="0" t="s">
        <v>32</v>
      </c>
      <c r="T1421" s="0">
        <f>HYPERLINK("https://ec-qa-storage.kldlms.com/ItemVariation/08DD146A-F155-4845-8412-529365BE079D/CBDE6C46-449A-45DD-92EF-13FD1C49D20D.webp","Variant Image")</f>
      </c>
      <c r="U1421" s="0">
        <f>HYPERLINK("https://ec-qa-storage.kldlms.com/Item/08DD146A-F155-4845-8412-529365BE079D/B578F755-9993-47CF-A824-C59C9D2F8808.webp","Thumbnail Image")</f>
      </c>
      <c r="V1421" s="0">
        <f>HYPERLINK("https://ec-qa-storage.kldlms.com/ItemGallery/08DD146A-F155-4845-8412-529365BE079D/23C5D67D-F312-4705-9C83-EE92006B80DD.webp","Gallery Image ")</f>
      </c>
      <c r="W1421" s="0" t="s">
        <v>22</v>
      </c>
    </row>
    <row r="1422">
      <c r="A1422" s="0" t="s">
        <v>5119</v>
      </c>
      <c r="B1422" s="0" t="s">
        <v>5119</v>
      </c>
      <c r="C1422" s="0" t="s">
        <v>5120</v>
      </c>
      <c r="D1422" s="0" t="s">
        <v>27</v>
      </c>
      <c r="E1422" s="0" t="s">
        <v>3526</v>
      </c>
      <c r="F1422" s="0" t="s">
        <v>3137</v>
      </c>
      <c r="G1422" s="0" t="s">
        <v>5119</v>
      </c>
      <c r="H1422" s="0" t="s">
        <v>5119</v>
      </c>
      <c r="I1422" s="0" t="s">
        <v>5118</v>
      </c>
      <c r="J1422" s="0" t="s">
        <v>5118</v>
      </c>
      <c r="K1422" s="0" t="s">
        <v>5121</v>
      </c>
      <c r="L1422" s="0" t="s">
        <v>32</v>
      </c>
      <c r="M1422" s="0" t="s">
        <v>61</v>
      </c>
      <c r="N1422" s="0" t="s">
        <v>32</v>
      </c>
      <c r="O1422" s="0" t="s">
        <v>35</v>
      </c>
      <c r="P1422" s="0" t="s">
        <v>1195</v>
      </c>
      <c r="Q1422" s="0" t="s">
        <v>5121</v>
      </c>
      <c r="R1422" s="0" t="s">
        <v>5120</v>
      </c>
      <c r="S1422" s="0" t="s">
        <v>32</v>
      </c>
      <c r="T1422" s="0">
        <f>HYPERLINK("https://ec-qa-storage.kldlms.com/ItemVariation/08DD146A-F169-47B1-8F75-C6E3692FCA64/CC73A1BA-25B9-4AB1-825F-452AE7F57D19.webp","Variant Image")</f>
      </c>
      <c r="U1422" s="0">
        <f>HYPERLINK("https://ec-qa-storage.kldlms.com/Item/08DD146A-F169-47B1-8F75-C6E3692FCA64/E89026A3-BEBA-461F-A1D2-C66D126D685B.webp","Thumbnail Image")</f>
      </c>
      <c r="V1422" s="0">
        <f>HYPERLINK("https://ec-qa-storage.kldlms.com/ItemGallery/08DD146A-F169-47B1-8F75-C6E3692FCA64/54312D17-B11A-41FE-9E95-8DB9634BB97E.webp","Gallery Image ")</f>
      </c>
      <c r="W1422" s="0" t="s">
        <v>22</v>
      </c>
    </row>
    <row r="1423">
      <c r="A1423" s="0" t="s">
        <v>4299</v>
      </c>
      <c r="B1423" s="0" t="s">
        <v>4299</v>
      </c>
      <c r="C1423" s="0" t="s">
        <v>4300</v>
      </c>
      <c r="D1423" s="0" t="s">
        <v>27</v>
      </c>
      <c r="E1423" s="0" t="s">
        <v>3526</v>
      </c>
      <c r="F1423" s="0" t="s">
        <v>3137</v>
      </c>
      <c r="G1423" s="0" t="s">
        <v>4299</v>
      </c>
      <c r="H1423" s="0" t="s">
        <v>4299</v>
      </c>
      <c r="I1423" s="0" t="s">
        <v>4301</v>
      </c>
      <c r="J1423" s="0" t="s">
        <v>4301</v>
      </c>
      <c r="K1423" s="0" t="s">
        <v>3842</v>
      </c>
      <c r="L1423" s="0" t="s">
        <v>32</v>
      </c>
      <c r="M1423" s="0" t="s">
        <v>61</v>
      </c>
      <c r="N1423" s="0" t="s">
        <v>32</v>
      </c>
      <c r="O1423" s="0" t="s">
        <v>35</v>
      </c>
      <c r="P1423" s="0" t="s">
        <v>4302</v>
      </c>
      <c r="Q1423" s="0" t="s">
        <v>3842</v>
      </c>
      <c r="R1423" s="0" t="s">
        <v>4300</v>
      </c>
      <c r="S1423" s="0" t="s">
        <v>32</v>
      </c>
      <c r="T1423" s="0">
        <f>HYPERLINK("https://ec-qa-storage.kldlms.com/ItemVariation/08DD146A-F196-4CC3-817D-3DF670F54E7B/5B5EC0CB-6FA2-4244-A006-76A2103194A6.png","Variant Image")</f>
      </c>
      <c r="U1423" s="0">
        <f>HYPERLINK("https://ec-qa-storage.kldlms.com/Item/08DD146A-F196-4CC3-817D-3DF670F54E7B/68CBBAA7-BBEE-4A60-B7B7-E97FFD028A7F.png","Thumbnail Image")</f>
      </c>
      <c r="V1423" s="0">
        <f>HYPERLINK("https://ec-qa-storage.kldlms.com/ItemGallery/08DD146A-F196-4CC3-817D-3DF670F54E7B/D0E13124-8BF1-4346-95D2-3D7AB5A6D334.jpg","Gallery Image ")</f>
      </c>
      <c r="W1423" s="0" t="s">
        <v>22</v>
      </c>
    </row>
    <row r="1424">
      <c r="A1424" s="0" t="s">
        <v>4004</v>
      </c>
      <c r="B1424" s="0" t="s">
        <v>4004</v>
      </c>
      <c r="C1424" s="0" t="s">
        <v>4005</v>
      </c>
      <c r="D1424" s="0" t="s">
        <v>27</v>
      </c>
      <c r="E1424" s="0" t="s">
        <v>3526</v>
      </c>
      <c r="F1424" s="0" t="s">
        <v>3137</v>
      </c>
      <c r="G1424" s="0" t="s">
        <v>4004</v>
      </c>
      <c r="H1424" s="0" t="s">
        <v>4004</v>
      </c>
      <c r="I1424" s="0" t="s">
        <v>4006</v>
      </c>
      <c r="J1424" s="0" t="s">
        <v>4006</v>
      </c>
      <c r="K1424" s="0" t="s">
        <v>4007</v>
      </c>
      <c r="L1424" s="0" t="s">
        <v>32</v>
      </c>
      <c r="M1424" s="0" t="s">
        <v>61</v>
      </c>
      <c r="N1424" s="0" t="s">
        <v>32</v>
      </c>
      <c r="O1424" s="0" t="s">
        <v>35</v>
      </c>
      <c r="P1424" s="0" t="s">
        <v>527</v>
      </c>
      <c r="Q1424" s="0" t="s">
        <v>4007</v>
      </c>
      <c r="R1424" s="0" t="s">
        <v>4005</v>
      </c>
      <c r="S1424" s="0" t="s">
        <v>32</v>
      </c>
      <c r="T1424" s="0">
        <f>HYPERLINK("https://ec-qa-storage.kldlms.com/ItemVariation/08DD146A-F210-4988-8ED1-57463D19339F/426A5DD3-4A13-42B3-8DE1-2E618DD1D429.jpg","Variant Image")</f>
      </c>
      <c r="U1424" s="0">
        <f>HYPERLINK("https://ec-qa-storage.kldlms.com/Item/08DD146A-F210-4988-8ED1-57463D19339F/517B25A5-B56E-448A-A183-BE6A07EF899A.jpg","Thumbnail Image")</f>
      </c>
      <c r="V1424" s="0">
        <f>HYPERLINK("https://ec-qa-storage.kldlms.com/ItemGallery/08DD146A-F210-4988-8ED1-57463D19339F/B29EC1F0-7FA0-4E17-9130-B496A88EE519.jpg","Gallery Image ")</f>
      </c>
      <c r="W1424" s="0" t="s">
        <v>22</v>
      </c>
    </row>
    <row r="1425">
      <c r="A1425" s="0" t="s">
        <v>3545</v>
      </c>
      <c r="B1425" s="0" t="s">
        <v>3545</v>
      </c>
      <c r="C1425" s="0" t="s">
        <v>3546</v>
      </c>
      <c r="D1425" s="0" t="s">
        <v>27</v>
      </c>
      <c r="E1425" s="0" t="s">
        <v>3526</v>
      </c>
      <c r="F1425" s="0" t="s">
        <v>3137</v>
      </c>
      <c r="G1425" s="0" t="s">
        <v>3545</v>
      </c>
      <c r="H1425" s="0" t="s">
        <v>3545</v>
      </c>
      <c r="I1425" s="0" t="s">
        <v>3547</v>
      </c>
      <c r="J1425" s="0" t="s">
        <v>3547</v>
      </c>
      <c r="K1425" s="0" t="s">
        <v>2404</v>
      </c>
      <c r="L1425" s="0" t="s">
        <v>32</v>
      </c>
      <c r="M1425" s="0" t="s">
        <v>61</v>
      </c>
      <c r="N1425" s="0" t="s">
        <v>32</v>
      </c>
      <c r="O1425" s="0" t="s">
        <v>35</v>
      </c>
      <c r="P1425" s="0" t="s">
        <v>1016</v>
      </c>
      <c r="Q1425" s="0" t="s">
        <v>2404</v>
      </c>
      <c r="R1425" s="0" t="s">
        <v>3546</v>
      </c>
      <c r="S1425" s="0" t="s">
        <v>32</v>
      </c>
      <c r="T1425" s="0">
        <f>HYPERLINK("https://ec-qa-storage.kldlms.com/ItemVariation/08DD146A-F404-4D8B-8278-DE13553D39DD/00078718-0004-4BE6-A738-2CFAE05C0F6C.jpg","Variant Image")</f>
      </c>
      <c r="U1425" s="0">
        <f>HYPERLINK("https://ec-qa-storage.kldlms.com/Item/08DD146A-F404-4D8B-8278-DE13553D39DD/04BE719C-7A34-42F4-97F6-19B76A398644.jpg","Thumbnail Image")</f>
      </c>
      <c r="V1425" s="0">
        <f>HYPERLINK("https://ec-qa-storage.kldlms.com/ItemGallery/08DD146A-F404-4D8B-8278-DE13553D39DD/B357FD0F-0A0B-4B06-9B87-943B36B5B031.jpg","Gallery Image ")</f>
      </c>
      <c r="W1425" s="0" t="s">
        <v>22</v>
      </c>
    </row>
    <row r="1426">
      <c r="A1426" s="0" t="s">
        <v>4303</v>
      </c>
      <c r="B1426" s="0" t="s">
        <v>4303</v>
      </c>
      <c r="C1426" s="0" t="s">
        <v>4304</v>
      </c>
      <c r="D1426" s="0" t="s">
        <v>27</v>
      </c>
      <c r="E1426" s="0" t="s">
        <v>3526</v>
      </c>
      <c r="F1426" s="0" t="s">
        <v>3137</v>
      </c>
      <c r="G1426" s="0" t="s">
        <v>4303</v>
      </c>
      <c r="H1426" s="0" t="s">
        <v>4303</v>
      </c>
      <c r="I1426" s="0" t="s">
        <v>4305</v>
      </c>
      <c r="J1426" s="0" t="s">
        <v>4305</v>
      </c>
      <c r="K1426" s="0" t="s">
        <v>4306</v>
      </c>
      <c r="L1426" s="0" t="s">
        <v>32</v>
      </c>
      <c r="M1426" s="0" t="s">
        <v>61</v>
      </c>
      <c r="N1426" s="0" t="s">
        <v>32</v>
      </c>
      <c r="O1426" s="0" t="s">
        <v>35</v>
      </c>
      <c r="P1426" s="0" t="s">
        <v>1016</v>
      </c>
      <c r="Q1426" s="0" t="s">
        <v>4306</v>
      </c>
      <c r="R1426" s="0" t="s">
        <v>4304</v>
      </c>
      <c r="S1426" s="0" t="s">
        <v>32</v>
      </c>
      <c r="T1426" s="0">
        <f>HYPERLINK("https://ec-qa-storage.kldlms.com/ItemVariation/08DD146A-F4E2-4D93-8083-ABEFBDE4E1B6/072FBA53-2A7D-4A50-8348-132A50396E9C.jpg","Variant Image")</f>
      </c>
      <c r="U1426" s="0">
        <f>HYPERLINK("https://ec-qa-storage.kldlms.com/Item/08DD146A-F4E2-4D93-8083-ABEFBDE4E1B6/63989561-ADB1-44EB-95CD-26C3C6125B16.jpg","Thumbnail Image")</f>
      </c>
      <c r="V1426" s="0">
        <f>HYPERLINK("https://ec-qa-storage.kldlms.com/ItemGallery/08DD146A-F4E2-4D93-8083-ABEFBDE4E1B6/693140D4-0EFE-4F6F-9A85-6081167BEF09.jpg","Gallery Image ")</f>
      </c>
      <c r="W1426" s="0" t="s">
        <v>22</v>
      </c>
    </row>
    <row r="1427">
      <c r="A1427" s="0" t="s">
        <v>4009</v>
      </c>
      <c r="B1427" s="0" t="s">
        <v>4009</v>
      </c>
      <c r="C1427" s="0" t="s">
        <v>4010</v>
      </c>
      <c r="D1427" s="0" t="s">
        <v>27</v>
      </c>
      <c r="E1427" s="0" t="s">
        <v>3526</v>
      </c>
      <c r="F1427" s="0" t="s">
        <v>3137</v>
      </c>
      <c r="G1427" s="0" t="s">
        <v>4009</v>
      </c>
      <c r="H1427" s="0" t="s">
        <v>4009</v>
      </c>
      <c r="I1427" s="0" t="s">
        <v>4011</v>
      </c>
      <c r="J1427" s="0" t="s">
        <v>4011</v>
      </c>
      <c r="K1427" s="0" t="s">
        <v>31</v>
      </c>
      <c r="L1427" s="0" t="s">
        <v>32</v>
      </c>
      <c r="M1427" s="0" t="s">
        <v>61</v>
      </c>
      <c r="N1427" s="0" t="s">
        <v>32</v>
      </c>
      <c r="O1427" s="0" t="s">
        <v>35</v>
      </c>
      <c r="P1427" s="0" t="s">
        <v>1016</v>
      </c>
      <c r="Q1427" s="0" t="s">
        <v>31</v>
      </c>
      <c r="R1427" s="0" t="s">
        <v>4010</v>
      </c>
      <c r="S1427" s="0" t="s">
        <v>32</v>
      </c>
      <c r="T1427" s="0">
        <f>HYPERLINK("https://ec-qa-storage.kldlms.com/ItemVariation/08DD146A-F502-45B7-867E-6B1BD15F897E/90BA9A89-652F-4D8D-A061-CFFE960D456E.jpg","Variant Image")</f>
      </c>
      <c r="U1427" s="0">
        <f>HYPERLINK("https://ec-qa-storage.kldlms.com/Item/08DD146A-F502-45B7-867E-6B1BD15F897E/E31479EF-53A1-4D82-A205-4C938955EE3C.jpg","Thumbnail Image")</f>
      </c>
      <c r="V1427" s="0">
        <f>HYPERLINK("https://ec-qa-storage.kldlms.com/ItemGallery/08DD146A-F502-45B7-867E-6B1BD15F897E/98298C40-C446-4F1C-AA08-E2DF71403151.png","Gallery Image ")</f>
      </c>
      <c r="W1427" s="0" t="s">
        <v>22</v>
      </c>
    </row>
    <row r="1428">
      <c r="A1428" s="0" t="s">
        <v>4013</v>
      </c>
      <c r="B1428" s="0" t="s">
        <v>4013</v>
      </c>
      <c r="C1428" s="0" t="s">
        <v>4014</v>
      </c>
      <c r="D1428" s="0" t="s">
        <v>27</v>
      </c>
      <c r="E1428" s="0" t="s">
        <v>3526</v>
      </c>
      <c r="F1428" s="0" t="s">
        <v>3137</v>
      </c>
      <c r="G1428" s="0" t="s">
        <v>4013</v>
      </c>
      <c r="H1428" s="0" t="s">
        <v>4013</v>
      </c>
      <c r="I1428" s="0" t="s">
        <v>4015</v>
      </c>
      <c r="J1428" s="0" t="s">
        <v>4015</v>
      </c>
      <c r="K1428" s="0" t="s">
        <v>4016</v>
      </c>
      <c r="L1428" s="0" t="s">
        <v>32</v>
      </c>
      <c r="M1428" s="0" t="s">
        <v>61</v>
      </c>
      <c r="N1428" s="0" t="s">
        <v>32</v>
      </c>
      <c r="O1428" s="0" t="s">
        <v>35</v>
      </c>
      <c r="P1428" s="0" t="s">
        <v>4018</v>
      </c>
      <c r="Q1428" s="0" t="s">
        <v>4016</v>
      </c>
      <c r="R1428" s="0" t="s">
        <v>4014</v>
      </c>
      <c r="S1428" s="0" t="s">
        <v>32</v>
      </c>
      <c r="T1428" s="0">
        <f>HYPERLINK("https://ec-qa-storage.kldlms.com/ItemVariation/08DD146A-F69E-41BB-8FF1-9DD135D0D617/5C6488FF-5596-4186-BFEC-F3C929105341.jpg","Variant Image")</f>
      </c>
      <c r="U1428" s="0">
        <f>HYPERLINK("https://ec-qa-storage.kldlms.com/Item/08DD146A-F69E-41BB-8FF1-9DD135D0D617/47B76794-90C2-4AE6-AA54-A57EE1E6A948.jpg","Thumbnail Image")</f>
      </c>
      <c r="V1428" s="0">
        <f>HYPERLINK("https://ec-qa-storage.kldlms.com/ItemGallery/08DD146A-F69E-41BB-8FF1-9DD135D0D617/778B5CFA-8B37-4C08-8E27-90D15D472980.jpg","Gallery Image ")</f>
      </c>
      <c r="W1428" s="0" t="s">
        <v>22</v>
      </c>
    </row>
    <row r="1429">
      <c r="A1429" s="0" t="s">
        <v>4314</v>
      </c>
      <c r="B1429" s="0" t="s">
        <v>4314</v>
      </c>
      <c r="C1429" s="0" t="s">
        <v>4315</v>
      </c>
      <c r="D1429" s="0" t="s">
        <v>27</v>
      </c>
      <c r="E1429" s="0" t="s">
        <v>3526</v>
      </c>
      <c r="F1429" s="0" t="s">
        <v>3137</v>
      </c>
      <c r="G1429" s="0" t="s">
        <v>4314</v>
      </c>
      <c r="H1429" s="0" t="s">
        <v>4314</v>
      </c>
      <c r="I1429" s="0" t="s">
        <v>4316</v>
      </c>
      <c r="J1429" s="0" t="s">
        <v>4316</v>
      </c>
      <c r="K1429" s="0" t="s">
        <v>2843</v>
      </c>
      <c r="L1429" s="0" t="s">
        <v>32</v>
      </c>
      <c r="M1429" s="0" t="s">
        <v>61</v>
      </c>
      <c r="N1429" s="0" t="s">
        <v>32</v>
      </c>
      <c r="O1429" s="0" t="s">
        <v>35</v>
      </c>
      <c r="P1429" s="0" t="s">
        <v>1016</v>
      </c>
      <c r="Q1429" s="0" t="s">
        <v>2843</v>
      </c>
      <c r="R1429" s="0" t="s">
        <v>4315</v>
      </c>
      <c r="S1429" s="0" t="s">
        <v>32</v>
      </c>
      <c r="T1429" s="0">
        <f>HYPERLINK("https://ec-qa-storage.kldlms.com/ItemVariation/08DD146A-F83B-489A-8575-C701BC8A7E1D/E6691BA1-E393-471B-9FAF-98D8B2B36D47.jpg","Variant Image")</f>
      </c>
      <c r="U1429" s="0">
        <f>HYPERLINK("https://ec-qa-storage.kldlms.com/Item/08DD146A-F83B-489A-8575-C701BC8A7E1D/856D4623-C914-4712-A5B9-A1A1680B9D3C.jpg","Thumbnail Image")</f>
      </c>
      <c r="V1429" s="0">
        <f>HYPERLINK("https://ec-qa-storage.kldlms.com/ItemGallery/08DD146A-F83B-489A-8575-C701BC8A7E1D/FC950A9A-2103-4CE4-8C06-2EACEE182154.jpg","Gallery Image ")</f>
      </c>
      <c r="W1429" s="0" t="s">
        <v>22</v>
      </c>
    </row>
    <row r="1430">
      <c r="P1430" s="0" t="s">
        <v>3401</v>
      </c>
      <c r="Q1430" s="0" t="s">
        <v>2843</v>
      </c>
      <c r="R1430" s="0" t="s">
        <v>4318</v>
      </c>
      <c r="S1430" s="0" t="s">
        <v>32</v>
      </c>
      <c r="T1430" s="0">
        <f>HYPERLINK("https://ec-qa-storage.kldlms.com/ItemVariation/08DD146A-F83B-489A-8575-C701BC8A7E1D/920D2EAB-8EF8-4180-A6D9-64F83EC3EE37.jpg","Variant Image")</f>
      </c>
    </row>
    <row r="1431">
      <c r="P1431" s="0" t="s">
        <v>121</v>
      </c>
      <c r="Q1431" s="0" t="s">
        <v>2843</v>
      </c>
      <c r="R1431" s="0" t="s">
        <v>4319</v>
      </c>
      <c r="S1431" s="0" t="s">
        <v>32</v>
      </c>
      <c r="T1431" s="0">
        <f>HYPERLINK("https://ec-qa-storage.kldlms.com/ItemVariation/08DD146A-F83B-489A-8575-C701BC8A7E1D/BEB94B70-1E38-47F5-8E95-DFBC2827D718.jpg","Variant Image")</f>
      </c>
    </row>
    <row r="1432">
      <c r="A1432" s="0" t="s">
        <v>4328</v>
      </c>
      <c r="B1432" s="0" t="s">
        <v>4328</v>
      </c>
      <c r="C1432" s="0" t="s">
        <v>4329</v>
      </c>
      <c r="D1432" s="0" t="s">
        <v>27</v>
      </c>
      <c r="E1432" s="0" t="s">
        <v>3526</v>
      </c>
      <c r="F1432" s="0" t="s">
        <v>3137</v>
      </c>
      <c r="G1432" s="0" t="s">
        <v>4328</v>
      </c>
      <c r="H1432" s="0" t="s">
        <v>4328</v>
      </c>
      <c r="I1432" s="0" t="s">
        <v>4330</v>
      </c>
      <c r="J1432" s="0" t="s">
        <v>4330</v>
      </c>
      <c r="K1432" s="0" t="s">
        <v>1118</v>
      </c>
      <c r="L1432" s="0" t="s">
        <v>32</v>
      </c>
      <c r="M1432" s="0" t="s">
        <v>61</v>
      </c>
      <c r="N1432" s="0" t="s">
        <v>32</v>
      </c>
      <c r="O1432" s="0" t="s">
        <v>35</v>
      </c>
      <c r="P1432" s="0" t="s">
        <v>1016</v>
      </c>
      <c r="Q1432" s="0" t="s">
        <v>1118</v>
      </c>
      <c r="R1432" s="0" t="s">
        <v>4329</v>
      </c>
      <c r="S1432" s="0" t="s">
        <v>32</v>
      </c>
      <c r="T1432" s="0">
        <f>HYPERLINK("https://ec-qa-storage.kldlms.com/ItemVariation/08DD146A-F8F2-4466-8772-ABF209A663A2/7012B33E-693B-4D6E-8BC0-E71F76784B6B.jpg","Variant Image")</f>
      </c>
      <c r="U1432" s="0">
        <f>HYPERLINK("https://ec-qa-storage.kldlms.com/Item/08DD146A-F8F2-4466-8772-ABF209A663A2/6E1CC125-BCBA-485E-B39E-3AD0D0F5F26A.jpg","Thumbnail Image")</f>
      </c>
      <c r="V1432" s="0">
        <f>HYPERLINK("https://ec-qa-storage.kldlms.com/ItemGallery/08DD146A-F8F2-4466-8772-ABF209A663A2/1C9AD7C1-83A4-4671-A204-0BA7168606D6.png","Gallery Image ")</f>
      </c>
      <c r="W1432" s="0" t="s">
        <v>22</v>
      </c>
    </row>
    <row r="1433">
      <c r="A1433" s="0" t="s">
        <v>4019</v>
      </c>
      <c r="B1433" s="0" t="s">
        <v>4019</v>
      </c>
      <c r="C1433" s="0" t="s">
        <v>4020</v>
      </c>
      <c r="D1433" s="0" t="s">
        <v>27</v>
      </c>
      <c r="E1433" s="0" t="s">
        <v>3526</v>
      </c>
      <c r="F1433" s="0" t="s">
        <v>3137</v>
      </c>
      <c r="G1433" s="0" t="s">
        <v>4019</v>
      </c>
      <c r="H1433" s="0" t="s">
        <v>4019</v>
      </c>
      <c r="I1433" s="0" t="s">
        <v>4021</v>
      </c>
      <c r="J1433" s="0" t="s">
        <v>4021</v>
      </c>
      <c r="K1433" s="0" t="s">
        <v>1914</v>
      </c>
      <c r="L1433" s="0" t="s">
        <v>32</v>
      </c>
      <c r="M1433" s="0" t="s">
        <v>61</v>
      </c>
      <c r="N1433" s="0" t="s">
        <v>32</v>
      </c>
      <c r="O1433" s="0" t="s">
        <v>35</v>
      </c>
      <c r="P1433" s="0" t="s">
        <v>527</v>
      </c>
      <c r="Q1433" s="0" t="s">
        <v>1914</v>
      </c>
      <c r="R1433" s="0" t="s">
        <v>4020</v>
      </c>
      <c r="S1433" s="0" t="s">
        <v>32</v>
      </c>
      <c r="T1433" s="0">
        <f>HYPERLINK("https://ec-qa-storage.kldlms.com/ItemVariation/08DD146A-F940-4169-8F8A-6CB0C170B47F/946E10A6-86F9-4546-8B13-DF1B4BA4FB6E.jpg","Variant Image")</f>
      </c>
      <c r="U1433" s="0">
        <f>HYPERLINK("https://ec-qa-storage.kldlms.com/Item/08DD146A-F940-4169-8F8A-6CB0C170B47F/4EE17C22-92E9-4610-9FEA-5299B2607B10.jpg","Thumbnail Image")</f>
      </c>
      <c r="V1433" s="0">
        <f>HYPERLINK("https://ec-qa-storage.kldlms.com/ItemGallery/08DD146A-F940-4169-8F8A-6CB0C170B47F/783BA621-1E94-47E5-B084-98F2FF6D7A75.jpg","Gallery Image ")</f>
      </c>
      <c r="W1433" s="0" t="s">
        <v>22</v>
      </c>
    </row>
    <row r="1434">
      <c r="A1434" s="0" t="s">
        <v>4023</v>
      </c>
      <c r="B1434" s="0" t="s">
        <v>4023</v>
      </c>
      <c r="C1434" s="0" t="s">
        <v>4024</v>
      </c>
      <c r="D1434" s="0" t="s">
        <v>27</v>
      </c>
      <c r="E1434" s="0" t="s">
        <v>3526</v>
      </c>
      <c r="F1434" s="0" t="s">
        <v>3137</v>
      </c>
      <c r="G1434" s="0" t="s">
        <v>4023</v>
      </c>
      <c r="H1434" s="0" t="s">
        <v>4023</v>
      </c>
      <c r="I1434" s="0" t="s">
        <v>4025</v>
      </c>
      <c r="J1434" s="0" t="s">
        <v>4025</v>
      </c>
      <c r="K1434" s="0" t="s">
        <v>4026</v>
      </c>
      <c r="L1434" s="0" t="s">
        <v>32</v>
      </c>
      <c r="M1434" s="0" t="s">
        <v>61</v>
      </c>
      <c r="N1434" s="0" t="s">
        <v>32</v>
      </c>
      <c r="O1434" s="0" t="s">
        <v>35</v>
      </c>
      <c r="P1434" s="0" t="s">
        <v>527</v>
      </c>
      <c r="Q1434" s="0" t="s">
        <v>4026</v>
      </c>
      <c r="R1434" s="0" t="s">
        <v>4024</v>
      </c>
      <c r="S1434" s="0" t="s">
        <v>32</v>
      </c>
      <c r="T1434" s="0">
        <f>HYPERLINK("https://ec-qa-storage.kldlms.com/ItemVariation/08DD146A-FA2A-431E-8C2C-1C23F0DC95BA/96472AC1-C8C8-499F-95D6-A1468FA09CB3.jpg","Variant Image")</f>
      </c>
      <c r="U1434" s="0">
        <f>HYPERLINK("https://ec-qa-storage.kldlms.com/Item/08DD146A-FA2A-431E-8C2C-1C23F0DC95BA/F70B6BC7-34D3-48B1-A6BF-0D284CF30D97.jpg","Thumbnail Image")</f>
      </c>
      <c r="V1434" s="0">
        <f>HYPERLINK("https://ec-qa-storage.kldlms.com/ItemGallery/08DD146A-FA2A-431E-8C2C-1C23F0DC95BA/36E3F37D-5BE6-48E1-8EB7-64B4B20E47B7.jpg","Gallery Image ")</f>
      </c>
      <c r="W1434" s="0" t="s">
        <v>22</v>
      </c>
    </row>
    <row r="1435">
      <c r="A1435" s="0" t="s">
        <v>3852</v>
      </c>
      <c r="B1435" s="0" t="s">
        <v>3852</v>
      </c>
      <c r="C1435" s="0" t="s">
        <v>3853</v>
      </c>
      <c r="D1435" s="0" t="s">
        <v>27</v>
      </c>
      <c r="E1435" s="0" t="s">
        <v>3160</v>
      </c>
      <c r="F1435" s="0" t="s">
        <v>3137</v>
      </c>
      <c r="G1435" s="0" t="s">
        <v>3852</v>
      </c>
      <c r="H1435" s="0" t="s">
        <v>3852</v>
      </c>
      <c r="I1435" s="0" t="s">
        <v>3854</v>
      </c>
      <c r="J1435" s="0" t="s">
        <v>3854</v>
      </c>
      <c r="K1435" s="0" t="s">
        <v>3855</v>
      </c>
      <c r="L1435" s="0" t="s">
        <v>32</v>
      </c>
      <c r="M1435" s="0" t="s">
        <v>61</v>
      </c>
      <c r="N1435" s="0" t="s">
        <v>32</v>
      </c>
      <c r="O1435" s="0" t="s">
        <v>35</v>
      </c>
      <c r="P1435" s="0" t="s">
        <v>593</v>
      </c>
      <c r="Q1435" s="0" t="s">
        <v>3855</v>
      </c>
      <c r="R1435" s="0" t="s">
        <v>3853</v>
      </c>
      <c r="S1435" s="0" t="s">
        <v>32</v>
      </c>
      <c r="T1435" s="0">
        <f>HYPERLINK("https://ec-qa-storage.kldlms.com/ItemVariation/08DD146A-FB3B-43FB-83C8-89DC3F2430F7/C0E4296D-0F68-4709-ADDB-1E484A628A96.jpeg","Variant Image")</f>
      </c>
      <c r="U1435" s="0">
        <f>HYPERLINK("https://ec-qa-storage.kldlms.com/Item/08DD146A-FB3B-43FB-83C8-89DC3F2430F7/F030F638-0080-40B8-A948-3A6627CD648C.jpeg","Thumbnail Image")</f>
      </c>
      <c r="V1435" s="0">
        <f>HYPERLINK("https://ec-qa-storage.kldlms.com/ItemGallery/08DD146A-FB3B-43FB-83C8-89DC3F2430F7/87E0C323-D25B-4777-AF68-34A7BA77202B.jpeg","Gallery Image ")</f>
      </c>
      <c r="W1435" s="0" t="s">
        <v>22</v>
      </c>
    </row>
    <row r="1436">
      <c r="P1436" s="0" t="s">
        <v>1016</v>
      </c>
      <c r="Q1436" s="0" t="s">
        <v>3855</v>
      </c>
      <c r="R1436" s="0" t="s">
        <v>3858</v>
      </c>
      <c r="S1436" s="0" t="s">
        <v>32</v>
      </c>
      <c r="T1436" s="0">
        <f>HYPERLINK("https://ec-qa-storage.kldlms.com/ItemVariation/08DD146A-FB3B-43FB-83C8-89DC3F2430F7/F4A82BC9-9FE2-4522-A92D-FB49F2D6FA3B.jpeg","Variant Image")</f>
      </c>
    </row>
    <row r="1437">
      <c r="P1437" s="0" t="s">
        <v>3859</v>
      </c>
      <c r="Q1437" s="0" t="s">
        <v>3855</v>
      </c>
      <c r="R1437" s="0" t="s">
        <v>2605</v>
      </c>
      <c r="S1437" s="0" t="s">
        <v>32</v>
      </c>
      <c r="T1437" s="0">
        <f>HYPERLINK("https://ec-qa-storage.kldlms.com/ItemVariation/08DD146A-FB3B-43FB-83C8-89DC3F2430F7/BD1F6C9C-1CF2-420C-827E-5443CA224130.jpg","Variant Image")</f>
      </c>
    </row>
    <row r="1438">
      <c r="A1438" s="0" t="s">
        <v>3868</v>
      </c>
      <c r="B1438" s="0" t="s">
        <v>3868</v>
      </c>
      <c r="C1438" s="0" t="s">
        <v>3869</v>
      </c>
      <c r="D1438" s="0" t="s">
        <v>27</v>
      </c>
      <c r="E1438" s="0" t="s">
        <v>3160</v>
      </c>
      <c r="F1438" s="0" t="s">
        <v>3137</v>
      </c>
      <c r="G1438" s="0" t="s">
        <v>3868</v>
      </c>
      <c r="H1438" s="0" t="s">
        <v>3868</v>
      </c>
      <c r="I1438" s="0" t="s">
        <v>3870</v>
      </c>
      <c r="J1438" s="0" t="s">
        <v>3870</v>
      </c>
      <c r="K1438" s="0" t="s">
        <v>1283</v>
      </c>
      <c r="L1438" s="0" t="s">
        <v>32</v>
      </c>
      <c r="M1438" s="0" t="s">
        <v>61</v>
      </c>
      <c r="N1438" s="0" t="s">
        <v>32</v>
      </c>
      <c r="O1438" s="0" t="s">
        <v>35</v>
      </c>
      <c r="P1438" s="0" t="s">
        <v>527</v>
      </c>
      <c r="Q1438" s="0" t="s">
        <v>1283</v>
      </c>
      <c r="R1438" s="0" t="s">
        <v>3869</v>
      </c>
      <c r="S1438" s="0" t="s">
        <v>32</v>
      </c>
      <c r="T1438" s="0">
        <f>HYPERLINK("https://ec-qa-storage.kldlms.com/ItemVariation/08DD146A-FC77-4814-804C-CC525B50443A/9FC01ED3-BFDC-4DB1-8A56-62C51841F548.jpg","Variant Image")</f>
      </c>
      <c r="U1438" s="0">
        <f>HYPERLINK("https://ec-qa-storage.kldlms.com/Item/08DD146A-FC77-4814-804C-CC525B50443A/D1E461CF-71CB-4674-956F-75AD27DEFCB1.jpg","Thumbnail Image")</f>
      </c>
      <c r="V1438" s="0">
        <f>HYPERLINK("https://ec-qa-storage.kldlms.com/ItemGallery/08DD146A-FC77-4814-804C-CC525B50443A/26008B97-1426-4F3D-B367-1282629CC20B.jpg","Gallery Image ")</f>
      </c>
      <c r="W1438" s="0" t="s">
        <v>22</v>
      </c>
    </row>
    <row r="1439">
      <c r="A1439" s="0" t="s">
        <v>4028</v>
      </c>
      <c r="B1439" s="0" t="s">
        <v>4028</v>
      </c>
      <c r="C1439" s="0" t="s">
        <v>4029</v>
      </c>
      <c r="D1439" s="0" t="s">
        <v>27</v>
      </c>
      <c r="E1439" s="0" t="s">
        <v>3879</v>
      </c>
      <c r="F1439" s="0" t="s">
        <v>3137</v>
      </c>
      <c r="G1439" s="0" t="s">
        <v>4028</v>
      </c>
      <c r="H1439" s="0" t="s">
        <v>4028</v>
      </c>
      <c r="I1439" s="0" t="s">
        <v>4030</v>
      </c>
      <c r="J1439" s="0" t="s">
        <v>4030</v>
      </c>
      <c r="K1439" s="0" t="s">
        <v>4031</v>
      </c>
      <c r="L1439" s="0" t="s">
        <v>32</v>
      </c>
      <c r="M1439" s="0" t="s">
        <v>61</v>
      </c>
      <c r="N1439" s="0" t="s">
        <v>32</v>
      </c>
      <c r="O1439" s="0" t="s">
        <v>35</v>
      </c>
      <c r="P1439" s="0" t="s">
        <v>527</v>
      </c>
      <c r="Q1439" s="0" t="s">
        <v>4031</v>
      </c>
      <c r="R1439" s="0" t="s">
        <v>4029</v>
      </c>
      <c r="S1439" s="0" t="s">
        <v>32</v>
      </c>
      <c r="T1439" s="0">
        <f>HYPERLINK("https://ec-qa-storage.kldlms.com/ItemVariation/08DD146B-084A-4F3E-85C5-B5186A8294C8/0F3ECEBD-1434-4503-ADF0-23363AA128AD.jpg","Variant Image")</f>
      </c>
      <c r="U1439" s="0">
        <f>HYPERLINK("https://ec-qa-storage.kldlms.com/Item/08DD146B-084A-4F3E-85C5-B5186A8294C8/1D44DC35-D6C0-48D6-9A4A-8B7A63D446DE.jpg","Thumbnail Image")</f>
      </c>
      <c r="V1439" s="0">
        <f>HYPERLINK("https://ec-qa-storage.kldlms.com/ItemGallery/08DD146B-084A-4F3E-85C5-B5186A8294C8/99B092AC-9EC5-4BED-9488-B2189DBAAACD.jpg","Gallery Image ")</f>
      </c>
      <c r="W1439" s="0" t="s">
        <v>22</v>
      </c>
    </row>
    <row r="1440">
      <c r="A1440" s="0" t="s">
        <v>4033</v>
      </c>
      <c r="B1440" s="0" t="s">
        <v>4033</v>
      </c>
      <c r="C1440" s="0" t="s">
        <v>4034</v>
      </c>
      <c r="D1440" s="0" t="s">
        <v>27</v>
      </c>
      <c r="E1440" s="0" t="s">
        <v>3879</v>
      </c>
      <c r="F1440" s="0" t="s">
        <v>3137</v>
      </c>
      <c r="G1440" s="0" t="s">
        <v>4033</v>
      </c>
      <c r="H1440" s="0" t="s">
        <v>4033</v>
      </c>
      <c r="I1440" s="0" t="s">
        <v>4035</v>
      </c>
      <c r="J1440" s="0" t="s">
        <v>4035</v>
      </c>
      <c r="K1440" s="0" t="s">
        <v>4036</v>
      </c>
      <c r="L1440" s="0" t="s">
        <v>32</v>
      </c>
      <c r="M1440" s="0" t="s">
        <v>61</v>
      </c>
      <c r="N1440" s="0" t="s">
        <v>32</v>
      </c>
      <c r="O1440" s="0" t="s">
        <v>35</v>
      </c>
      <c r="P1440" s="0" t="s">
        <v>527</v>
      </c>
      <c r="Q1440" s="0" t="s">
        <v>4036</v>
      </c>
      <c r="R1440" s="0" t="s">
        <v>4034</v>
      </c>
      <c r="S1440" s="0" t="s">
        <v>32</v>
      </c>
      <c r="T1440" s="0">
        <f>HYPERLINK("https://ec-qa-storage.kldlms.com/ItemVariation/08DD146B-0A10-406E-8F33-69215C51C9A7/D2A468A5-4D6F-40DB-B3FB-03E3BCB3F1E7.jpg","Variant Image")</f>
      </c>
      <c r="U1440" s="0">
        <f>HYPERLINK("https://ec-qa-storage.kldlms.com/Item/08DD146B-0A10-406E-8F33-69215C51C9A7/07A66CD6-B73F-4E50-85BE-58F95E9D147E.jpg","Thumbnail Image")</f>
      </c>
      <c r="V1440" s="0">
        <f>HYPERLINK("https://ec-qa-storage.kldlms.com/ItemGallery/08DD146B-0A10-406E-8F33-69215C51C9A7/6BA6DEF5-4252-41BD-BFE5-CAE99B411E73.jpg","Gallery Image ")</f>
      </c>
      <c r="W1440" s="0" t="s">
        <v>22</v>
      </c>
    </row>
    <row r="1441">
      <c r="A1441" s="0" t="s">
        <v>3877</v>
      </c>
      <c r="B1441" s="0" t="s">
        <v>3877</v>
      </c>
      <c r="C1441" s="0" t="s">
        <v>3878</v>
      </c>
      <c r="D1441" s="0" t="s">
        <v>27</v>
      </c>
      <c r="E1441" s="0" t="s">
        <v>3879</v>
      </c>
      <c r="F1441" s="0" t="s">
        <v>3137</v>
      </c>
      <c r="G1441" s="0" t="s">
        <v>3877</v>
      </c>
      <c r="H1441" s="0" t="s">
        <v>3877</v>
      </c>
      <c r="I1441" s="0" t="s">
        <v>3880</v>
      </c>
      <c r="J1441" s="0" t="s">
        <v>3880</v>
      </c>
      <c r="K1441" s="0" t="s">
        <v>3881</v>
      </c>
      <c r="L1441" s="0" t="s">
        <v>32</v>
      </c>
      <c r="M1441" s="0" t="s">
        <v>61</v>
      </c>
      <c r="N1441" s="0" t="s">
        <v>32</v>
      </c>
      <c r="O1441" s="0" t="s">
        <v>35</v>
      </c>
      <c r="P1441" s="0" t="s">
        <v>593</v>
      </c>
      <c r="Q1441" s="0" t="s">
        <v>3881</v>
      </c>
      <c r="R1441" s="0" t="s">
        <v>3878</v>
      </c>
      <c r="S1441" s="0" t="s">
        <v>32</v>
      </c>
      <c r="T1441" s="0">
        <f>HYPERLINK("https://ec-qa-storage.kldlms.com/ItemVariation/08DD146B-0DBB-498C-8324-B80FA0754D71/3427B5B4-6835-4FA1-8905-89CAA2FDB74B.jpg","Variant Image")</f>
      </c>
      <c r="U1441" s="0">
        <f>HYPERLINK("https://ec-qa-storage.kldlms.com/Item/08DD146B-0DBB-498C-8324-B80FA0754D71/B2098148-B0E5-49E5-8F42-176BE7CCCD08.jpg","Thumbnail Image")</f>
      </c>
      <c r="V1441" s="0">
        <f>HYPERLINK("https://ec-qa-storage.kldlms.com/ItemGallery/08DD146B-0DBB-498C-8324-B80FA0754D71/FE9E6327-141C-486E-9663-503E391223B5.jpg","Gallery Image ")</f>
      </c>
      <c r="W1441" s="0" t="s">
        <v>22</v>
      </c>
    </row>
    <row r="1442">
      <c r="A1442" s="0" t="s">
        <v>3664</v>
      </c>
      <c r="B1442" s="0" t="s">
        <v>3664</v>
      </c>
      <c r="C1442" s="0" t="s">
        <v>3665</v>
      </c>
      <c r="D1442" s="0" t="s">
        <v>27</v>
      </c>
      <c r="E1442" s="0" t="s">
        <v>5122</v>
      </c>
      <c r="F1442" s="0" t="s">
        <v>3137</v>
      </c>
      <c r="G1442" s="0" t="s">
        <v>3664</v>
      </c>
      <c r="H1442" s="0" t="s">
        <v>3664</v>
      </c>
      <c r="I1442" s="0" t="s">
        <v>5123</v>
      </c>
      <c r="J1442" s="0" t="s">
        <v>5123</v>
      </c>
      <c r="K1442" s="0" t="s">
        <v>3666</v>
      </c>
      <c r="L1442" s="0" t="s">
        <v>32</v>
      </c>
      <c r="M1442" s="0" t="s">
        <v>61</v>
      </c>
      <c r="N1442" s="0" t="s">
        <v>32</v>
      </c>
      <c r="O1442" s="0" t="s">
        <v>35</v>
      </c>
      <c r="P1442" s="0" t="s">
        <v>39</v>
      </c>
      <c r="Q1442" s="0" t="s">
        <v>3666</v>
      </c>
      <c r="R1442" s="0" t="s">
        <v>3665</v>
      </c>
      <c r="S1442" s="0" t="s">
        <v>32</v>
      </c>
      <c r="T1442" s="0">
        <f>HYPERLINK("https://ec-qa-storage.kldlms.com/ItemVariation/08DD146B-0E72-486F-864D-8FD46D4554AF/93BC9A55-6387-409B-B899-9356EBFCC3D6.jpg","Variant Image")</f>
      </c>
      <c r="U1442" s="0">
        <f>HYPERLINK("https://ec-qa-storage.kldlms.com/Item/08DD146B-0E72-486F-864D-8FD46D4554AF/1DAE1BA9-CC95-4029-B722-439E3F42DB7C.jpg","Thumbnail Image")</f>
      </c>
      <c r="V1442" s="0">
        <f>HYPERLINK("https://ec-qa-storage.kldlms.com/ItemGallery/08DD146B-0E72-486F-864D-8FD46D4554AF/12263C4D-CFD0-483A-BD52-B6729ACAD358.jpg","Gallery Image ")</f>
      </c>
      <c r="W1442" s="0" t="s">
        <v>22</v>
      </c>
    </row>
    <row r="1443">
      <c r="P1443" s="0" t="s">
        <v>327</v>
      </c>
      <c r="Q1443" s="0" t="s">
        <v>3666</v>
      </c>
      <c r="R1443" s="0" t="s">
        <v>3670</v>
      </c>
      <c r="S1443" s="0" t="s">
        <v>32</v>
      </c>
      <c r="T1443" s="0">
        <f>HYPERLINK("https://ec-qa-storage.kldlms.com/ItemVariation/08DD146B-0E72-486F-864D-8FD46D4554AF/9F6312BD-A54D-485F-8D94-DD75A4403CC7.jpg","Variant Image")</f>
      </c>
    </row>
    <row r="1444">
      <c r="A1444" s="0" t="s">
        <v>3153</v>
      </c>
      <c r="B1444" s="0" t="s">
        <v>3153</v>
      </c>
      <c r="C1444" s="0" t="s">
        <v>3154</v>
      </c>
      <c r="D1444" s="0" t="s">
        <v>27</v>
      </c>
      <c r="E1444" s="0" t="s">
        <v>3155</v>
      </c>
      <c r="F1444" s="0" t="s">
        <v>3137</v>
      </c>
      <c r="G1444" s="0" t="s">
        <v>3153</v>
      </c>
      <c r="H1444" s="0" t="s">
        <v>3153</v>
      </c>
      <c r="I1444" s="0" t="s">
        <v>3156</v>
      </c>
      <c r="J1444" s="0" t="s">
        <v>3156</v>
      </c>
      <c r="K1444" s="0" t="s">
        <v>3157</v>
      </c>
      <c r="L1444" s="0" t="s">
        <v>32</v>
      </c>
      <c r="M1444" s="0" t="s">
        <v>61</v>
      </c>
      <c r="N1444" s="0" t="s">
        <v>32</v>
      </c>
      <c r="O1444" s="0" t="s">
        <v>35</v>
      </c>
      <c r="P1444" s="0" t="s">
        <v>527</v>
      </c>
      <c r="Q1444" s="0" t="s">
        <v>3157</v>
      </c>
      <c r="R1444" s="0" t="s">
        <v>3154</v>
      </c>
      <c r="S1444" s="0" t="s">
        <v>32</v>
      </c>
      <c r="T1444" s="0">
        <f>HYPERLINK("https://ec-qa-storage.kldlms.com/ItemVariation/08DD146B-0E9B-4A7B-88B2-05071CDD26E4/F51FF2B8-5594-49D5-A24F-9DD3B2319E7A.jpg","Variant Image")</f>
      </c>
      <c r="U1444" s="0">
        <f>HYPERLINK("https://ec-qa-storage.kldlms.com/Item/08DD146B-0E9B-4A7B-88B2-05071CDD26E4/B17F1A50-AD7A-46A5-B604-430D31755260.jpg","Thumbnail Image")</f>
      </c>
      <c r="V1444" s="0">
        <f>HYPERLINK("https://ec-qa-storage.kldlms.com/ItemGallery/08DD146B-0E9B-4A7B-88B2-05071CDD26E4/BBAF8E36-6AAC-4B48-AA3B-C214B511104E.jpg","Gallery Image ")</f>
      </c>
      <c r="W1444" s="0" t="s">
        <v>22</v>
      </c>
    </row>
    <row r="1445">
      <c r="A1445" s="0" t="s">
        <v>4767</v>
      </c>
      <c r="B1445" s="0" t="s">
        <v>4767</v>
      </c>
      <c r="C1445" s="0" t="s">
        <v>4768</v>
      </c>
      <c r="D1445" s="0" t="s">
        <v>27</v>
      </c>
      <c r="E1445" s="0" t="s">
        <v>3136</v>
      </c>
      <c r="F1445" s="0" t="s">
        <v>3137</v>
      </c>
      <c r="G1445" s="0" t="s">
        <v>4767</v>
      </c>
      <c r="H1445" s="0" t="s">
        <v>4767</v>
      </c>
      <c r="I1445" s="0" t="s">
        <v>5124</v>
      </c>
      <c r="J1445" s="0" t="s">
        <v>5124</v>
      </c>
      <c r="K1445" s="0" t="s">
        <v>4769</v>
      </c>
      <c r="L1445" s="0" t="s">
        <v>32</v>
      </c>
      <c r="M1445" s="0" t="s">
        <v>61</v>
      </c>
      <c r="N1445" s="0" t="s">
        <v>32</v>
      </c>
      <c r="O1445" s="0" t="s">
        <v>35</v>
      </c>
      <c r="P1445" s="0" t="s">
        <v>593</v>
      </c>
      <c r="Q1445" s="0" t="s">
        <v>4769</v>
      </c>
      <c r="R1445" s="0" t="s">
        <v>4768</v>
      </c>
      <c r="S1445" s="0" t="s">
        <v>32</v>
      </c>
      <c r="T1445" s="0">
        <f>HYPERLINK("https://ec-qa-storage.kldlms.com/ItemVariation/08DD146B-0FA2-4B17-8046-41435CCC1610/45B7EE9B-B450-4B6A-A77F-DDAC453B59A1.png","Variant Image")</f>
      </c>
      <c r="U1445" s="0">
        <f>HYPERLINK("https://ec-qa-storage.kldlms.com/Item/08DD146B-0FA2-4B17-8046-41435CCC1610/730BE475-FD84-4198-A248-F526BA4AC32C.png","Thumbnail Image")</f>
      </c>
      <c r="V1445" s="0">
        <f>HYPERLINK("https://ec-qa-storage.kldlms.com/ItemGallery/08DD146B-0FA2-4B17-8046-41435CCC1610/1298640F-E13E-4B15-A801-0D30FAEDECB8.jpg","Gallery Image ")</f>
      </c>
      <c r="W1445" s="0" t="s">
        <v>22</v>
      </c>
    </row>
    <row r="1446">
      <c r="P1446" s="0" t="s">
        <v>1016</v>
      </c>
      <c r="Q1446" s="0" t="s">
        <v>4769</v>
      </c>
      <c r="R1446" s="0" t="s">
        <v>4772</v>
      </c>
      <c r="S1446" s="0" t="s">
        <v>32</v>
      </c>
      <c r="T1446" s="0">
        <f>HYPERLINK("https://ec-qa-storage.kldlms.com/ItemVariation/08DD146B-0FA2-4B17-8046-41435CCC1610/F08BF53E-7AC3-4F96-A852-EFF673A3133B.webp","Variant Image")</f>
      </c>
    </row>
    <row r="1447">
      <c r="P1447" s="0" t="s">
        <v>527</v>
      </c>
      <c r="Q1447" s="0" t="s">
        <v>4769</v>
      </c>
      <c r="R1447" s="0" t="s">
        <v>4776</v>
      </c>
      <c r="S1447" s="0" t="s">
        <v>32</v>
      </c>
      <c r="T1447" s="0">
        <f>HYPERLINK("https://ec-qa-storage.kldlms.com/ItemVariation/08DD146B-0FA2-4B17-8046-41435CCC1610/35508D0E-AF4F-42BD-9AEE-F09241DEA29B.jpg","Variant Image")</f>
      </c>
    </row>
    <row r="1448">
      <c r="A1448" s="0" t="s">
        <v>3175</v>
      </c>
      <c r="B1448" s="0" t="s">
        <v>3175</v>
      </c>
      <c r="C1448" s="0" t="s">
        <v>3176</v>
      </c>
      <c r="D1448" s="0" t="s">
        <v>27</v>
      </c>
      <c r="E1448" s="0" t="s">
        <v>3177</v>
      </c>
      <c r="F1448" s="0" t="s">
        <v>3137</v>
      </c>
      <c r="G1448" s="0" t="s">
        <v>3175</v>
      </c>
      <c r="H1448" s="0" t="s">
        <v>3175</v>
      </c>
      <c r="I1448" s="0" t="s">
        <v>3178</v>
      </c>
      <c r="J1448" s="0" t="s">
        <v>3178</v>
      </c>
      <c r="K1448" s="0" t="s">
        <v>3179</v>
      </c>
      <c r="L1448" s="0" t="s">
        <v>32</v>
      </c>
      <c r="M1448" s="0" t="s">
        <v>61</v>
      </c>
      <c r="N1448" s="0" t="s">
        <v>32</v>
      </c>
      <c r="O1448" s="0" t="s">
        <v>35</v>
      </c>
      <c r="P1448" s="0" t="s">
        <v>527</v>
      </c>
      <c r="Q1448" s="0" t="s">
        <v>3179</v>
      </c>
      <c r="R1448" s="0" t="s">
        <v>3176</v>
      </c>
      <c r="S1448" s="0" t="s">
        <v>32</v>
      </c>
      <c r="T1448" s="0">
        <f>HYPERLINK("https://ec-qa-storage.kldlms.com/ItemVariation/08DD146B-10B0-4618-82EF-DB3327EE581D/E5CB28D2-4EC5-41FB-BA21-2CF895FB3878.webp","Variant Image")</f>
      </c>
      <c r="U1448" s="0">
        <f>HYPERLINK("https://ec-qa-storage.kldlms.com/Item/08DD146B-10B0-4618-82EF-DB3327EE581D/541C0040-9D77-47DD-8F58-39A99B1F8CD8.webp","Thumbnail Image")</f>
      </c>
      <c r="V1448" s="0">
        <f>HYPERLINK("https://ec-qa-storage.kldlms.com/ItemGallery/08DD146B-10B0-4618-82EF-DB3327EE581D/3B2AB02E-2150-4D8C-BD43-EBDE98698D12.jpg","Gallery Image ")</f>
      </c>
      <c r="W1448" s="0" t="s">
        <v>22</v>
      </c>
    </row>
    <row r="1449">
      <c r="A1449" s="0" t="s">
        <v>3186</v>
      </c>
      <c r="B1449" s="0" t="s">
        <v>3186</v>
      </c>
      <c r="C1449" s="0" t="s">
        <v>3187</v>
      </c>
      <c r="D1449" s="0" t="s">
        <v>27</v>
      </c>
      <c r="E1449" s="0" t="s">
        <v>3155</v>
      </c>
      <c r="F1449" s="0" t="s">
        <v>3137</v>
      </c>
      <c r="G1449" s="0" t="s">
        <v>3186</v>
      </c>
      <c r="H1449" s="0" t="s">
        <v>3186</v>
      </c>
      <c r="I1449" s="0" t="s">
        <v>3188</v>
      </c>
      <c r="J1449" s="0" t="s">
        <v>3188</v>
      </c>
      <c r="K1449" s="0" t="s">
        <v>3189</v>
      </c>
      <c r="L1449" s="0" t="s">
        <v>32</v>
      </c>
      <c r="M1449" s="0" t="s">
        <v>61</v>
      </c>
      <c r="N1449" s="0" t="s">
        <v>32</v>
      </c>
      <c r="O1449" s="0" t="s">
        <v>35</v>
      </c>
      <c r="P1449" s="0" t="s">
        <v>527</v>
      </c>
      <c r="Q1449" s="0" t="s">
        <v>3189</v>
      </c>
      <c r="R1449" s="0" t="s">
        <v>3187</v>
      </c>
      <c r="S1449" s="0" t="s">
        <v>32</v>
      </c>
      <c r="T1449" s="0">
        <f>HYPERLINK("https://ec-qa-storage.kldlms.com/ItemVariation/08DD146B-114F-490B-884E-E3FCB52D4AC5/1E84A3CB-2D62-4247-BC4E-25EA4B4C4742.jpg","Variant Image")</f>
      </c>
      <c r="U1449" s="0">
        <f>HYPERLINK("https://ec-qa-storage.kldlms.com/Item/08DD146B-114F-490B-884E-E3FCB52D4AC5/2D56DA1A-8B20-4F2A-BDF3-49E441986A43.jpg","Thumbnail Image")</f>
      </c>
      <c r="V1449" s="0">
        <f>HYPERLINK("https://ec-qa-storage.kldlms.com/ItemGallery/08DD146B-114F-490B-884E-E3FCB52D4AC5/86F87D36-BC90-4823-A0EF-575518B24D03.jpg","Gallery Image ")</f>
      </c>
      <c r="W1449" s="0" t="s">
        <v>22</v>
      </c>
    </row>
    <row r="1450">
      <c r="A1450" s="0" t="s">
        <v>3689</v>
      </c>
      <c r="B1450" s="0" t="s">
        <v>3689</v>
      </c>
      <c r="C1450" s="0" t="s">
        <v>3690</v>
      </c>
      <c r="D1450" s="0" t="s">
        <v>27</v>
      </c>
      <c r="E1450" s="0" t="s">
        <v>3160</v>
      </c>
      <c r="F1450" s="0" t="s">
        <v>3137</v>
      </c>
      <c r="G1450" s="0" t="s">
        <v>3689</v>
      </c>
      <c r="H1450" s="0" t="s">
        <v>3689</v>
      </c>
      <c r="I1450" s="0" t="s">
        <v>3691</v>
      </c>
      <c r="J1450" s="0" t="s">
        <v>3691</v>
      </c>
      <c r="K1450" s="0" t="s">
        <v>3692</v>
      </c>
      <c r="L1450" s="0" t="s">
        <v>32</v>
      </c>
      <c r="M1450" s="0" t="s">
        <v>61</v>
      </c>
      <c r="N1450" s="0" t="s">
        <v>32</v>
      </c>
      <c r="O1450" s="0" t="s">
        <v>35</v>
      </c>
      <c r="P1450" s="0" t="s">
        <v>527</v>
      </c>
      <c r="Q1450" s="0" t="s">
        <v>3692</v>
      </c>
      <c r="R1450" s="0" t="s">
        <v>3690</v>
      </c>
      <c r="S1450" s="0" t="s">
        <v>32</v>
      </c>
      <c r="T1450" s="0">
        <f>HYPERLINK("https://ec-qa-storage.kldlms.com/ItemVariation/08DD146B-1244-47A1-8DD7-CB108F37B96D/824AEBC2-A94A-4B6D-AF30-6A71C04875CC.webp","Variant Image")</f>
      </c>
      <c r="U1450" s="0">
        <f>HYPERLINK("https://ec-qa-storage.kldlms.com/Item/08DD146B-1244-47A1-8DD7-CB108F37B96D/A7394D66-12A2-4DC3-B6F6-E37A85BC65F7.webp","Thumbnail Image")</f>
      </c>
      <c r="V1450" s="0">
        <f>HYPERLINK("https://ec-qa-storage.kldlms.com/ItemGallery/08DD146B-1244-47A1-8DD7-CB108F37B96D/CCEAA241-4ECB-4F80-8684-BAFDA7E4B3B8.webp","Gallery Image ")</f>
      </c>
      <c r="W1450" s="0" t="s">
        <v>22</v>
      </c>
    </row>
    <row r="1451">
      <c r="A1451" s="0" t="s">
        <v>3714</v>
      </c>
      <c r="B1451" s="0" t="s">
        <v>3714</v>
      </c>
      <c r="C1451" s="0" t="s">
        <v>3715</v>
      </c>
      <c r="D1451" s="0" t="s">
        <v>27</v>
      </c>
      <c r="E1451" s="0" t="s">
        <v>3160</v>
      </c>
      <c r="F1451" s="0" t="s">
        <v>3137</v>
      </c>
      <c r="G1451" s="0" t="s">
        <v>3714</v>
      </c>
      <c r="H1451" s="0" t="s">
        <v>3714</v>
      </c>
      <c r="I1451" s="0" t="s">
        <v>3716</v>
      </c>
      <c r="J1451" s="0" t="s">
        <v>3716</v>
      </c>
      <c r="K1451" s="0" t="s">
        <v>3717</v>
      </c>
      <c r="L1451" s="0" t="s">
        <v>32</v>
      </c>
      <c r="M1451" s="0" t="s">
        <v>61</v>
      </c>
      <c r="N1451" s="0" t="s">
        <v>32</v>
      </c>
      <c r="O1451" s="0" t="s">
        <v>35</v>
      </c>
      <c r="P1451" s="0" t="s">
        <v>527</v>
      </c>
      <c r="Q1451" s="0" t="s">
        <v>3717</v>
      </c>
      <c r="R1451" s="0" t="s">
        <v>3715</v>
      </c>
      <c r="S1451" s="0" t="s">
        <v>32</v>
      </c>
      <c r="T1451" s="0">
        <f>HYPERLINK("https://ec-qa-storage.kldlms.com/ItemVariation/08DD146B-1349-47E9-8800-9F7ECE570B97/BCE04C78-40CC-4585-83BF-7F657173A9B3.jpg","Variant Image")</f>
      </c>
      <c r="U1451" s="0">
        <f>HYPERLINK("https://ec-qa-storage.kldlms.com/Item/08DD146B-1349-47E9-8800-9F7ECE570B97/2DF2456B-0017-4D9C-88A4-A22D45585BF5.jpg","Thumbnail Image")</f>
      </c>
      <c r="V1451" s="0">
        <f>HYPERLINK("https://ec-qa-storage.kldlms.com/ItemGallery/08DD146B-1349-47E9-8800-9F7ECE570B97/A1BB10BC-A568-4D2C-B8A5-1C180FBBDA0B.jpg","Gallery Image ")</f>
      </c>
      <c r="W1451" s="0" t="s">
        <v>22</v>
      </c>
    </row>
    <row r="1452">
      <c r="A1452" s="0" t="s">
        <v>3719</v>
      </c>
      <c r="B1452" s="0" t="s">
        <v>3719</v>
      </c>
      <c r="C1452" s="0" t="s">
        <v>3720</v>
      </c>
      <c r="D1452" s="0" t="s">
        <v>27</v>
      </c>
      <c r="E1452" s="0" t="s">
        <v>3160</v>
      </c>
      <c r="F1452" s="0" t="s">
        <v>3137</v>
      </c>
      <c r="G1452" s="0" t="s">
        <v>3719</v>
      </c>
      <c r="H1452" s="0" t="s">
        <v>3719</v>
      </c>
      <c r="I1452" s="0" t="s">
        <v>3716</v>
      </c>
      <c r="J1452" s="0" t="s">
        <v>3716</v>
      </c>
      <c r="K1452" s="0" t="s">
        <v>3437</v>
      </c>
      <c r="L1452" s="0" t="s">
        <v>32</v>
      </c>
      <c r="M1452" s="0" t="s">
        <v>61</v>
      </c>
      <c r="N1452" s="0" t="s">
        <v>32</v>
      </c>
      <c r="O1452" s="0" t="s">
        <v>35</v>
      </c>
      <c r="P1452" s="0" t="s">
        <v>527</v>
      </c>
      <c r="Q1452" s="0" t="s">
        <v>3437</v>
      </c>
      <c r="R1452" s="0" t="s">
        <v>3720</v>
      </c>
      <c r="S1452" s="0" t="s">
        <v>32</v>
      </c>
      <c r="T1452" s="0">
        <f>HYPERLINK("https://ec-qa-storage.kldlms.com/ItemVariation/08DD146B-1371-4163-827C-3E47C6CAC4FF/28B6D797-1F40-47DF-9881-1D408231F7D1.jpg","Variant Image")</f>
      </c>
      <c r="U1452" s="0">
        <f>HYPERLINK("https://ec-qa-storage.kldlms.com/Item/08DD146B-1371-4163-827C-3E47C6CAC4FF/A31E3F0E-AD8A-4B8E-A72F-87BF1945FC9C.jpg","Thumbnail Image")</f>
      </c>
      <c r="V1452" s="0">
        <f>HYPERLINK("https://ec-qa-storage.kldlms.com/ItemGallery/08DD146B-1371-4163-827C-3E47C6CAC4FF/EAA05179-3CB6-4076-B806-318DB8DBED7C.jpg","Gallery Image ")</f>
      </c>
      <c r="W1452" s="0" t="s">
        <v>22</v>
      </c>
    </row>
    <row r="1453">
      <c r="A1453" s="0" t="s">
        <v>4801</v>
      </c>
      <c r="B1453" s="0" t="s">
        <v>4801</v>
      </c>
      <c r="C1453" s="0" t="s">
        <v>4802</v>
      </c>
      <c r="D1453" s="0" t="s">
        <v>27</v>
      </c>
      <c r="E1453" s="0" t="s">
        <v>3136</v>
      </c>
      <c r="F1453" s="0" t="s">
        <v>3137</v>
      </c>
      <c r="G1453" s="0" t="s">
        <v>4801</v>
      </c>
      <c r="H1453" s="0" t="s">
        <v>4801</v>
      </c>
      <c r="I1453" s="0" t="s">
        <v>4803</v>
      </c>
      <c r="J1453" s="0" t="s">
        <v>4803</v>
      </c>
      <c r="K1453" s="0" t="s">
        <v>4804</v>
      </c>
      <c r="L1453" s="0" t="s">
        <v>32</v>
      </c>
      <c r="M1453" s="0" t="s">
        <v>61</v>
      </c>
      <c r="N1453" s="0" t="s">
        <v>32</v>
      </c>
      <c r="O1453" s="0" t="s">
        <v>35</v>
      </c>
      <c r="P1453" s="0" t="s">
        <v>527</v>
      </c>
      <c r="Q1453" s="0" t="s">
        <v>4804</v>
      </c>
      <c r="R1453" s="0" t="s">
        <v>4802</v>
      </c>
      <c r="S1453" s="0" t="s">
        <v>32</v>
      </c>
      <c r="T1453" s="0">
        <f>HYPERLINK("https://ec-qa-storage.kldlms.com/ItemVariation/08DD146B-139B-4F95-8ACF-4C014295CA62/55680716-C025-49FE-AF99-6F37BB8F9ABE.jpg","Variant Image")</f>
      </c>
      <c r="U1453" s="0">
        <f>HYPERLINK("https://ec-qa-storage.kldlms.com/Item/08DD146B-139B-4F95-8ACF-4C014295CA62/BFFD3996-084A-4C0C-AF9B-89E9ECC4C005.jpg","Thumbnail Image")</f>
      </c>
      <c r="V1453" s="0">
        <f>HYPERLINK("https://ec-qa-storage.kldlms.com/ItemGallery/08DD146B-139B-4F95-8ACF-4C014295CA62/F06B269C-017C-4F57-AA0D-FDBBD2C78BD6.jpg","Gallery Image ")</f>
      </c>
      <c r="W1453" s="0" t="s">
        <v>22</v>
      </c>
    </row>
    <row r="1454">
      <c r="A1454" s="0" t="s">
        <v>3230</v>
      </c>
      <c r="B1454" s="0" t="s">
        <v>3230</v>
      </c>
      <c r="C1454" s="0" t="s">
        <v>3231</v>
      </c>
      <c r="D1454" s="0" t="s">
        <v>27</v>
      </c>
      <c r="E1454" s="0" t="s">
        <v>3155</v>
      </c>
      <c r="F1454" s="0" t="s">
        <v>3137</v>
      </c>
      <c r="G1454" s="0" t="s">
        <v>3230</v>
      </c>
      <c r="H1454" s="0" t="s">
        <v>3230</v>
      </c>
      <c r="I1454" s="0" t="s">
        <v>5125</v>
      </c>
      <c r="J1454" s="0" t="s">
        <v>5125</v>
      </c>
      <c r="K1454" s="0" t="s">
        <v>3232</v>
      </c>
      <c r="L1454" s="0" t="s">
        <v>32</v>
      </c>
      <c r="M1454" s="0" t="s">
        <v>61</v>
      </c>
      <c r="N1454" s="0" t="s">
        <v>32</v>
      </c>
      <c r="O1454" s="0" t="s">
        <v>35</v>
      </c>
      <c r="P1454" s="0" t="s">
        <v>527</v>
      </c>
      <c r="Q1454" s="0" t="s">
        <v>3232</v>
      </c>
      <c r="R1454" s="0" t="s">
        <v>3231</v>
      </c>
      <c r="S1454" s="0" t="s">
        <v>32</v>
      </c>
      <c r="T1454" s="0">
        <f>HYPERLINK("https://ec-qa-storage.kldlms.com/ItemVariation/08DD146B-14AC-4B5D-8F79-B92F7235C5F3/F0724F86-5604-45DE-A78E-B77615D5B925.jpg","Variant Image")</f>
      </c>
      <c r="U1454" s="0">
        <f>HYPERLINK("https://ec-qa-storage.kldlms.com/Item/08DD146B-14AC-4B5D-8F79-B92F7235C5F3/12D1D94D-F656-4608-B4C1-03BAA4E53948.jpg","Thumbnail Image")</f>
      </c>
      <c r="V1454" s="0">
        <f>HYPERLINK("https://ec-qa-storage.kldlms.com/ItemGallery/08DD146B-14AC-4B5D-8F79-B92F7235C5F3/A049ACC4-34EF-46FC-994E-CF26377241B7.jpg","Gallery Image ")</f>
      </c>
      <c r="W1454" s="0" t="s">
        <v>22</v>
      </c>
    </row>
    <row r="1455">
      <c r="A1455" s="0" t="s">
        <v>3722</v>
      </c>
      <c r="B1455" s="0" t="s">
        <v>3722</v>
      </c>
      <c r="C1455" s="0" t="s">
        <v>3723</v>
      </c>
      <c r="D1455" s="0" t="s">
        <v>27</v>
      </c>
      <c r="E1455" s="0" t="s">
        <v>3160</v>
      </c>
      <c r="F1455" s="0" t="s">
        <v>3137</v>
      </c>
      <c r="G1455" s="0" t="s">
        <v>3722</v>
      </c>
      <c r="H1455" s="0" t="s">
        <v>3722</v>
      </c>
      <c r="I1455" s="0" t="s">
        <v>3724</v>
      </c>
      <c r="J1455" s="0" t="s">
        <v>3724</v>
      </c>
      <c r="K1455" s="0" t="s">
        <v>3725</v>
      </c>
      <c r="L1455" s="0" t="s">
        <v>32</v>
      </c>
      <c r="M1455" s="0" t="s">
        <v>61</v>
      </c>
      <c r="N1455" s="0" t="s">
        <v>32</v>
      </c>
      <c r="O1455" s="0" t="s">
        <v>35</v>
      </c>
      <c r="P1455" s="0" t="s">
        <v>527</v>
      </c>
      <c r="Q1455" s="0" t="s">
        <v>3725</v>
      </c>
      <c r="R1455" s="0" t="s">
        <v>3723</v>
      </c>
      <c r="S1455" s="0" t="s">
        <v>32</v>
      </c>
      <c r="T1455" s="0">
        <f>HYPERLINK("https://ec-qa-storage.kldlms.com/ItemVariation/08DD146B-14D0-4AF7-85E6-EF6C16D8BDB1/414A055F-0EFB-4306-AB46-6E38B2F93E79.jpg","Variant Image")</f>
      </c>
      <c r="U1455" s="0">
        <f>HYPERLINK("https://ec-qa-storage.kldlms.com/Item/08DD146B-14D0-4AF7-85E6-EF6C16D8BDB1/76C58DAA-57DF-4F3C-AD38-E6ADCB0BE05D.jpg","Thumbnail Image")</f>
      </c>
      <c r="V1455" s="0">
        <f>HYPERLINK("https://ec-qa-storage.kldlms.com/ItemGallery/08DD146B-14D0-4AF7-85E6-EF6C16D8BDB1/57A25CE2-FC37-456D-B3F9-85479885C4E8.jpg","Gallery Image ")</f>
      </c>
      <c r="W1455" s="0" t="s">
        <v>22</v>
      </c>
    </row>
    <row r="1456">
      <c r="A1456" s="0" t="s">
        <v>4815</v>
      </c>
      <c r="B1456" s="0" t="s">
        <v>4815</v>
      </c>
      <c r="C1456" s="0" t="s">
        <v>4820</v>
      </c>
      <c r="D1456" s="0" t="s">
        <v>27</v>
      </c>
      <c r="E1456" s="0" t="s">
        <v>3136</v>
      </c>
      <c r="F1456" s="0" t="s">
        <v>3137</v>
      </c>
      <c r="G1456" s="0" t="s">
        <v>4815</v>
      </c>
      <c r="H1456" s="0" t="s">
        <v>4815</v>
      </c>
      <c r="I1456" s="0" t="s">
        <v>4821</v>
      </c>
      <c r="J1456" s="0" t="s">
        <v>4821</v>
      </c>
      <c r="K1456" s="0" t="s">
        <v>4822</v>
      </c>
      <c r="L1456" s="0" t="s">
        <v>32</v>
      </c>
      <c r="M1456" s="0" t="s">
        <v>61</v>
      </c>
      <c r="N1456" s="0" t="s">
        <v>32</v>
      </c>
      <c r="O1456" s="0" t="s">
        <v>35</v>
      </c>
      <c r="P1456" s="0" t="s">
        <v>527</v>
      </c>
      <c r="Q1456" s="0" t="s">
        <v>4822</v>
      </c>
      <c r="R1456" s="0" t="s">
        <v>4820</v>
      </c>
      <c r="S1456" s="0" t="s">
        <v>32</v>
      </c>
      <c r="T1456" s="0">
        <f>HYPERLINK("https://ec-qa-storage.kldlms.com/ItemVariation/08DD146B-1574-4F4B-87B1-1A498618122A/F4B7A41B-5471-461A-A5B6-85C4F9CB8E00.jpg","Variant Image")</f>
      </c>
      <c r="U1456" s="0">
        <f>HYPERLINK("https://ec-qa-storage.kldlms.com/Item/08DD146B-1574-4F4B-87B1-1A498618122A/F2E59AF3-491B-45C5-AB8A-F369F2007A27.jpg","Thumbnail Image")</f>
      </c>
      <c r="V1456" s="0">
        <f>HYPERLINK("https://ec-qa-storage.kldlms.com/ItemGallery/08DD146B-1574-4F4B-87B1-1A498618122A/3A31432E-34E3-469E-BB53-80A3E7B1C19D.png","Gallery Image ")</f>
      </c>
      <c r="W1456" s="0" t="s">
        <v>22</v>
      </c>
    </row>
    <row r="1457">
      <c r="A1457" s="0" t="s">
        <v>3266</v>
      </c>
      <c r="B1457" s="0" t="s">
        <v>3266</v>
      </c>
      <c r="C1457" s="0" t="s">
        <v>5126</v>
      </c>
      <c r="D1457" s="0" t="s">
        <v>27</v>
      </c>
      <c r="E1457" s="0" t="s">
        <v>3155</v>
      </c>
      <c r="F1457" s="0" t="s">
        <v>3137</v>
      </c>
      <c r="G1457" s="0" t="s">
        <v>3266</v>
      </c>
      <c r="H1457" s="0" t="s">
        <v>3266</v>
      </c>
      <c r="I1457" s="0" t="s">
        <v>5127</v>
      </c>
      <c r="J1457" s="0" t="s">
        <v>5127</v>
      </c>
      <c r="K1457" s="0" t="s">
        <v>1206</v>
      </c>
      <c r="L1457" s="0" t="s">
        <v>32</v>
      </c>
      <c r="M1457" s="0" t="s">
        <v>61</v>
      </c>
      <c r="N1457" s="0" t="s">
        <v>32</v>
      </c>
      <c r="O1457" s="0" t="s">
        <v>35</v>
      </c>
      <c r="P1457" s="0" t="s">
        <v>527</v>
      </c>
      <c r="Q1457" s="0" t="s">
        <v>1206</v>
      </c>
      <c r="R1457" s="0" t="s">
        <v>3267</v>
      </c>
      <c r="S1457" s="0" t="s">
        <v>32</v>
      </c>
      <c r="T1457" s="0">
        <f>HYPERLINK("https://ec-qa-storage.kldlms.com/ItemVariation/08DD146B-19CE-4CF7-833C-91852F8C30F5/7D0773F2-44C4-4754-B08E-BA14D10874C2.jpg","Variant Image")</f>
      </c>
      <c r="U1457" s="0">
        <f>HYPERLINK("https://ec-qa-storage.kldlms.com/Item/08DD146B-19CE-4CF7-833C-91852F8C30F5/AD088B64-B119-43B4-A640-463FB787533A.jpg","Thumbnail Image")</f>
      </c>
      <c r="V1457" s="0">
        <f>HYPERLINK("https://ec-qa-storage.kldlms.com/ItemGallery/08DD146B-19CE-4CF7-833C-91852F8C30F5/9DD69212-7BEE-4DAA-B823-ABF65BA1454F.jpg","Gallery Image ")</f>
      </c>
      <c r="W1457" s="0" t="s">
        <v>22</v>
      </c>
    </row>
    <row r="1458">
      <c r="A1458" s="0" t="s">
        <v>3270</v>
      </c>
      <c r="B1458" s="0" t="s">
        <v>3270</v>
      </c>
      <c r="C1458" s="0" t="s">
        <v>3275</v>
      </c>
      <c r="D1458" s="0" t="s">
        <v>27</v>
      </c>
      <c r="E1458" s="0" t="s">
        <v>3155</v>
      </c>
      <c r="F1458" s="0" t="s">
        <v>3137</v>
      </c>
      <c r="G1458" s="0" t="s">
        <v>3270</v>
      </c>
      <c r="H1458" s="0" t="s">
        <v>3270</v>
      </c>
      <c r="I1458" s="0" t="s">
        <v>3276</v>
      </c>
      <c r="J1458" s="0" t="s">
        <v>3276</v>
      </c>
      <c r="K1458" s="0" t="s">
        <v>3277</v>
      </c>
      <c r="L1458" s="0" t="s">
        <v>32</v>
      </c>
      <c r="M1458" s="0" t="s">
        <v>61</v>
      </c>
      <c r="N1458" s="0" t="s">
        <v>32</v>
      </c>
      <c r="O1458" s="0" t="s">
        <v>35</v>
      </c>
      <c r="P1458" s="0" t="s">
        <v>593</v>
      </c>
      <c r="Q1458" s="0" t="s">
        <v>3277</v>
      </c>
      <c r="R1458" s="0" t="s">
        <v>3271</v>
      </c>
      <c r="S1458" s="0" t="s">
        <v>32</v>
      </c>
      <c r="T1458" s="0">
        <f>HYPERLINK("https://ec-qa-storage.kldlms.com/ItemVariation/08DD146B-24D0-4157-8CCD-844DC9BF5B16/14BDF4D9-FD29-4167-9612-17B0B3A89711.jpg","Variant Image")</f>
      </c>
      <c r="U1458" s="0">
        <f>HYPERLINK("https://ec-qa-storage.kldlms.com/Item/08DD146B-24D0-4157-8CCD-844DC9BF5B16/5E632FF4-2393-4147-888C-EB3992209EA4.jpg","Thumbnail Image")</f>
      </c>
      <c r="V1458" s="0">
        <f>HYPERLINK("https://ec-qa-storage.kldlms.com/ItemGallery/08DD146B-24D0-4157-8CCD-844DC9BF5B16/CA6C2457-4DC0-4D87-BFB3-C14507A88A13.jpg","Gallery Image ")</f>
      </c>
      <c r="W1458" s="0" t="s">
        <v>22</v>
      </c>
    </row>
    <row r="1459">
      <c r="A1459" s="0" t="s">
        <v>3284</v>
      </c>
      <c r="B1459" s="0" t="s">
        <v>3284</v>
      </c>
      <c r="C1459" s="0" t="s">
        <v>3285</v>
      </c>
      <c r="D1459" s="0" t="s">
        <v>27</v>
      </c>
      <c r="E1459" s="0" t="s">
        <v>3155</v>
      </c>
      <c r="F1459" s="0" t="s">
        <v>3137</v>
      </c>
      <c r="G1459" s="0" t="s">
        <v>3284</v>
      </c>
      <c r="H1459" s="0" t="s">
        <v>3284</v>
      </c>
      <c r="I1459" s="0" t="s">
        <v>3286</v>
      </c>
      <c r="J1459" s="0" t="s">
        <v>3286</v>
      </c>
      <c r="K1459" s="0" t="s">
        <v>3287</v>
      </c>
      <c r="L1459" s="0" t="s">
        <v>32</v>
      </c>
      <c r="M1459" s="0" t="s">
        <v>61</v>
      </c>
      <c r="N1459" s="0" t="s">
        <v>32</v>
      </c>
      <c r="O1459" s="0" t="s">
        <v>35</v>
      </c>
      <c r="P1459" s="0" t="s">
        <v>593</v>
      </c>
      <c r="Q1459" s="0" t="s">
        <v>3287</v>
      </c>
      <c r="R1459" s="0" t="s">
        <v>3285</v>
      </c>
      <c r="S1459" s="0" t="s">
        <v>32</v>
      </c>
      <c r="T1459" s="0">
        <f>HYPERLINK("https://ec-qa-storage.kldlms.com/ItemVariation/08DD146B-24E3-4B1E-870F-F176167D3965/294A459A-6658-41FD-9B4B-4123EFE84DB2.jpg","Variant Image")</f>
      </c>
      <c r="U1459" s="0">
        <f>HYPERLINK("https://ec-qa-storage.kldlms.com/Item/08DD146B-24E3-4B1E-870F-F176167D3965/E6F597C1-F0D8-430D-A47E-AE15F5FFA65E.jpg","Thumbnail Image")</f>
      </c>
      <c r="V1459" s="0">
        <f>HYPERLINK("https://ec-qa-storage.kldlms.com/ItemGallery/08DD146B-24E3-4B1E-870F-F176167D3965/7ACA9AFF-D106-4BF7-935A-182C1FD40DAD.jpg","Gallery Image ")</f>
      </c>
      <c r="W1459" s="0" t="s">
        <v>22</v>
      </c>
    </row>
    <row r="1460">
      <c r="P1460" s="0" t="s">
        <v>527</v>
      </c>
      <c r="Q1460" s="0" t="s">
        <v>3287</v>
      </c>
      <c r="R1460" s="0" t="s">
        <v>3289</v>
      </c>
      <c r="S1460" s="0" t="s">
        <v>32</v>
      </c>
      <c r="T1460" s="0">
        <f>HYPERLINK("https://ec-qa-storage.kldlms.com/ItemVariation/08DD146B-24E3-4B1E-870F-F176167D3965/3AEF21E4-E684-4E87-A8C7-DAFA967252AB.jpg","Variant Image")</f>
      </c>
    </row>
    <row r="1461">
      <c r="A1461" s="0" t="s">
        <v>3294</v>
      </c>
      <c r="B1461" s="0" t="s">
        <v>3294</v>
      </c>
      <c r="C1461" s="0" t="s">
        <v>3295</v>
      </c>
      <c r="D1461" s="0" t="s">
        <v>27</v>
      </c>
      <c r="E1461" s="0" t="s">
        <v>3155</v>
      </c>
      <c r="F1461" s="0" t="s">
        <v>3137</v>
      </c>
      <c r="G1461" s="0" t="s">
        <v>3294</v>
      </c>
      <c r="H1461" s="0" t="s">
        <v>3294</v>
      </c>
      <c r="I1461" s="0" t="s">
        <v>3296</v>
      </c>
      <c r="J1461" s="0" t="s">
        <v>3296</v>
      </c>
      <c r="K1461" s="0" t="s">
        <v>3297</v>
      </c>
      <c r="L1461" s="0" t="s">
        <v>32</v>
      </c>
      <c r="M1461" s="0" t="s">
        <v>61</v>
      </c>
      <c r="N1461" s="0" t="s">
        <v>32</v>
      </c>
      <c r="O1461" s="0" t="s">
        <v>35</v>
      </c>
      <c r="P1461" s="0" t="s">
        <v>527</v>
      </c>
      <c r="Q1461" s="0" t="s">
        <v>3297</v>
      </c>
      <c r="R1461" s="0" t="s">
        <v>3295</v>
      </c>
      <c r="S1461" s="0" t="s">
        <v>32</v>
      </c>
      <c r="T1461" s="0">
        <f>HYPERLINK("https://ec-qa-storage.kldlms.com/ItemVariation/08DD146B-2659-44DE-8C19-638E8C36AD40/0E828712-D4D5-42F6-BB21-22B1ABC60207.png","Variant Image")</f>
      </c>
      <c r="U1461" s="0">
        <f>HYPERLINK("https://ec-qa-storage.kldlms.com/Item/08DD146B-2659-44DE-8C19-638E8C36AD40/C8F69BCF-7329-4378-B86D-46F559948C8A.png","Thumbnail Image")</f>
      </c>
      <c r="V1461" s="0">
        <f>HYPERLINK("https://ec-qa-storage.kldlms.com/ItemGallery/08DD146B-2659-44DE-8C19-638E8C36AD40/7E2BC3E4-06BC-449E-A48A-9D24C66EEFFB.png","Gallery Image ")</f>
      </c>
      <c r="W1461" s="0" t="s">
        <v>22</v>
      </c>
    </row>
    <row r="1462">
      <c r="A1462" s="0" t="s">
        <v>3727</v>
      </c>
      <c r="B1462" s="0" t="s">
        <v>5128</v>
      </c>
      <c r="C1462" s="0" t="s">
        <v>5129</v>
      </c>
      <c r="D1462" s="0" t="s">
        <v>27</v>
      </c>
      <c r="E1462" s="0" t="s">
        <v>3155</v>
      </c>
      <c r="F1462" s="0" t="s">
        <v>3137</v>
      </c>
      <c r="G1462" s="0" t="s">
        <v>3727</v>
      </c>
      <c r="H1462" s="0" t="s">
        <v>3727</v>
      </c>
      <c r="I1462" s="0" t="s">
        <v>5130</v>
      </c>
      <c r="J1462" s="0" t="s">
        <v>5130</v>
      </c>
      <c r="K1462" s="0" t="s">
        <v>3730</v>
      </c>
      <c r="L1462" s="0" t="s">
        <v>32</v>
      </c>
      <c r="M1462" s="0" t="s">
        <v>61</v>
      </c>
      <c r="N1462" s="0" t="s">
        <v>32</v>
      </c>
      <c r="O1462" s="0" t="s">
        <v>35</v>
      </c>
      <c r="P1462" s="0" t="s">
        <v>527</v>
      </c>
      <c r="Q1462" s="0" t="s">
        <v>3730</v>
      </c>
      <c r="R1462" s="0" t="s">
        <v>3728</v>
      </c>
      <c r="S1462" s="0" t="s">
        <v>32</v>
      </c>
      <c r="T1462" s="0">
        <f>HYPERLINK("https://ec-qa-storage.kldlms.com/ItemVariation/08DD146B-26AA-44AE-8B31-82B1B3CE2FDB/DA06D6A0-7E44-47DF-9A5E-26D83C9FCFA6.jpg","Variant Image")</f>
      </c>
      <c r="U1462" s="0">
        <f>HYPERLINK("https://ec-qa-storage.kldlms.com/Item/08DD146B-26AA-44AE-8B31-82B1B3CE2FDB/56924DB8-0A9D-4D3A-9008-347FF124BC98.jpg","Thumbnail Image")</f>
      </c>
      <c r="V1462" s="0">
        <f>HYPERLINK("https://ec-qa-storage.kldlms.com/ItemGallery/08DD146B-26AA-44AE-8B31-82B1B3CE2FDB/A5E5E46A-E9F6-4163-9588-DBE5FF7399FC.jpg","Gallery Image ")</f>
      </c>
      <c r="W1462" s="0" t="s">
        <v>22</v>
      </c>
      <c r="X1462" s="0" t="s">
        <v>4905</v>
      </c>
    </row>
    <row r="1463">
      <c r="A1463" s="0" t="s">
        <v>3299</v>
      </c>
      <c r="B1463" s="0" t="s">
        <v>3299</v>
      </c>
      <c r="C1463" s="0" t="s">
        <v>3307</v>
      </c>
      <c r="D1463" s="0" t="s">
        <v>27</v>
      </c>
      <c r="E1463" s="0" t="s">
        <v>3155</v>
      </c>
      <c r="F1463" s="0" t="s">
        <v>3137</v>
      </c>
      <c r="G1463" s="0" t="s">
        <v>3299</v>
      </c>
      <c r="H1463" s="0" t="s">
        <v>3299</v>
      </c>
      <c r="I1463" s="0" t="s">
        <v>3308</v>
      </c>
      <c r="J1463" s="0" t="s">
        <v>3308</v>
      </c>
      <c r="K1463" s="0" t="s">
        <v>3309</v>
      </c>
      <c r="L1463" s="0" t="s">
        <v>32</v>
      </c>
      <c r="M1463" s="0" t="s">
        <v>61</v>
      </c>
      <c r="N1463" s="0" t="s">
        <v>32</v>
      </c>
      <c r="O1463" s="0" t="s">
        <v>35</v>
      </c>
      <c r="P1463" s="0" t="s">
        <v>527</v>
      </c>
      <c r="Q1463" s="0" t="s">
        <v>3309</v>
      </c>
      <c r="R1463" s="0" t="s">
        <v>3307</v>
      </c>
      <c r="S1463" s="0" t="s">
        <v>32</v>
      </c>
      <c r="T1463" s="0">
        <f>HYPERLINK("https://ec-qa-storage.kldlms.com/ItemVariation/08DD146B-2885-412B-8CEE-E015E586845E/A68BB43C-2D6A-47A0-B612-DD48519A612F.jpg","Variant Image")</f>
      </c>
      <c r="U1463" s="0">
        <f>HYPERLINK("https://ec-qa-storage.kldlms.com/Item/08DD146B-2885-412B-8CEE-E015E586845E/C223902A-AD59-4EB1-B5E6-FF4433A12600.jpg","Thumbnail Image")</f>
      </c>
      <c r="V1463" s="0">
        <f>HYPERLINK("https://ec-qa-storage.kldlms.com/ItemGallery/08DD146B-2885-412B-8CEE-E015E586845E/76075B8A-3B58-4AE1-B296-C32D1A44CE61.png","Gallery Image ")</f>
      </c>
      <c r="W1463" s="0" t="s">
        <v>22</v>
      </c>
    </row>
    <row r="1464">
      <c r="P1464" s="0" t="s">
        <v>593</v>
      </c>
      <c r="Q1464" s="0" t="s">
        <v>3309</v>
      </c>
      <c r="R1464" s="0" t="s">
        <v>3300</v>
      </c>
      <c r="S1464" s="0" t="s">
        <v>32</v>
      </c>
      <c r="T1464" s="0">
        <f>HYPERLINK("https://ec-qa-storage.kldlms.com/ItemVariation/08DD146B-2885-412B-8CEE-E015E586845E/F782BE05-6EB1-4FC2-AB24-5DB9C500FE9F.jpg","Variant Image")</f>
      </c>
    </row>
    <row r="1465">
      <c r="A1465" s="0" t="s">
        <v>3311</v>
      </c>
      <c r="B1465" s="0" t="s">
        <v>3311</v>
      </c>
      <c r="C1465" s="0" t="s">
        <v>3312</v>
      </c>
      <c r="D1465" s="0" t="s">
        <v>27</v>
      </c>
      <c r="E1465" s="0" t="s">
        <v>3155</v>
      </c>
      <c r="F1465" s="0" t="s">
        <v>3137</v>
      </c>
      <c r="G1465" s="0" t="s">
        <v>3311</v>
      </c>
      <c r="H1465" s="0" t="s">
        <v>3311</v>
      </c>
      <c r="I1465" s="0" t="s">
        <v>3313</v>
      </c>
      <c r="J1465" s="0" t="s">
        <v>3313</v>
      </c>
      <c r="K1465" s="0" t="s">
        <v>3314</v>
      </c>
      <c r="L1465" s="0" t="s">
        <v>32</v>
      </c>
      <c r="M1465" s="0" t="s">
        <v>61</v>
      </c>
      <c r="N1465" s="0" t="s">
        <v>32</v>
      </c>
      <c r="O1465" s="0" t="s">
        <v>35</v>
      </c>
      <c r="P1465" s="0" t="s">
        <v>527</v>
      </c>
      <c r="Q1465" s="0" t="s">
        <v>3314</v>
      </c>
      <c r="R1465" s="0" t="s">
        <v>3312</v>
      </c>
      <c r="S1465" s="0" t="s">
        <v>32</v>
      </c>
      <c r="T1465" s="0">
        <f>HYPERLINK("https://ec-qa-storage.kldlms.com/ItemVariation/08DD146B-4EF2-4E81-85F0-72B59E4A505D/5F0EA8B7-5AAF-4254-89DF-44EAB535F87B.jpg","Variant Image")</f>
      </c>
      <c r="U1465" s="0">
        <f>HYPERLINK("https://ec-qa-storage.kldlms.com/Item/08DD146B-4EF2-4E81-85F0-72B59E4A505D/10DC0226-77DC-450D-9E15-CD303697111A.jpg","Thumbnail Image")</f>
      </c>
      <c r="V1465" s="0">
        <f>HYPERLINK("https://ec-qa-storage.kldlms.com/ItemGallery/08DD146B-4EF2-4E81-85F0-72B59E4A505D/4820A4A8-CA1A-4F00-81F9-65DA78721E69.jpg","Gallery Image ")</f>
      </c>
      <c r="W1465" s="0" t="s">
        <v>22</v>
      </c>
    </row>
    <row r="1466">
      <c r="A1466" s="0" t="s">
        <v>3316</v>
      </c>
      <c r="B1466" s="0" t="s">
        <v>3316</v>
      </c>
      <c r="C1466" s="0" t="s">
        <v>3317</v>
      </c>
      <c r="D1466" s="0" t="s">
        <v>27</v>
      </c>
      <c r="E1466" s="0" t="s">
        <v>3155</v>
      </c>
      <c r="F1466" s="0" t="s">
        <v>3137</v>
      </c>
      <c r="G1466" s="0" t="s">
        <v>3316</v>
      </c>
      <c r="H1466" s="0" t="s">
        <v>3316</v>
      </c>
      <c r="I1466" s="0" t="s">
        <v>3318</v>
      </c>
      <c r="J1466" s="0" t="s">
        <v>3318</v>
      </c>
      <c r="K1466" s="0" t="s">
        <v>3319</v>
      </c>
      <c r="L1466" s="0" t="s">
        <v>32</v>
      </c>
      <c r="M1466" s="0" t="s">
        <v>61</v>
      </c>
      <c r="N1466" s="0" t="s">
        <v>32</v>
      </c>
      <c r="O1466" s="0" t="s">
        <v>35</v>
      </c>
      <c r="P1466" s="0" t="s">
        <v>527</v>
      </c>
      <c r="Q1466" s="0" t="s">
        <v>3319</v>
      </c>
      <c r="R1466" s="0" t="s">
        <v>3317</v>
      </c>
      <c r="S1466" s="0" t="s">
        <v>32</v>
      </c>
      <c r="T1466" s="0">
        <f>HYPERLINK("https://ec-qa-storage.kldlms.com/ItemVariation/08DD146B-4FF7-44DC-8157-EFFB4C1700D8/16CF801E-BF16-478C-A179-3C3BD8C994BD.jpg","Variant Image")</f>
      </c>
      <c r="U1466" s="0">
        <f>HYPERLINK("https://ec-qa-storage.kldlms.com/Item/08DD146B-4FF7-44DC-8157-EFFB4C1700D8/2A6F12F7-2AAC-4464-911B-23E4CA77E360.jpg","Thumbnail Image")</f>
      </c>
      <c r="V1466" s="0">
        <f>HYPERLINK("https://ec-qa-storage.kldlms.com/ItemGallery/08DD146B-4FF7-44DC-8157-EFFB4C1700D8/16B86493-E3CC-4E5D-BB6A-FB092F496A3F.png","Gallery Image ")</f>
      </c>
      <c r="W1466" s="0" t="s">
        <v>22</v>
      </c>
    </row>
    <row r="1467">
      <c r="A1467" s="0" t="s">
        <v>4840</v>
      </c>
      <c r="B1467" s="0" t="s">
        <v>4840</v>
      </c>
      <c r="C1467" s="0" t="s">
        <v>4854</v>
      </c>
      <c r="D1467" s="0" t="s">
        <v>27</v>
      </c>
      <c r="E1467" s="0" t="s">
        <v>3136</v>
      </c>
      <c r="F1467" s="0" t="s">
        <v>3137</v>
      </c>
      <c r="G1467" s="0" t="s">
        <v>4840</v>
      </c>
      <c r="H1467" s="0" t="s">
        <v>4840</v>
      </c>
      <c r="I1467" s="0" t="s">
        <v>4855</v>
      </c>
      <c r="J1467" s="0" t="s">
        <v>4855</v>
      </c>
      <c r="K1467" s="0" t="s">
        <v>4856</v>
      </c>
      <c r="L1467" s="0" t="s">
        <v>32</v>
      </c>
      <c r="M1467" s="0" t="s">
        <v>61</v>
      </c>
      <c r="N1467" s="0" t="s">
        <v>32</v>
      </c>
      <c r="O1467" s="0" t="s">
        <v>35</v>
      </c>
      <c r="P1467" s="0" t="s">
        <v>593</v>
      </c>
      <c r="Q1467" s="0" t="s">
        <v>4856</v>
      </c>
      <c r="R1467" s="0" t="s">
        <v>4854</v>
      </c>
      <c r="S1467" s="0" t="s">
        <v>32</v>
      </c>
      <c r="T1467" s="0">
        <f>HYPERLINK("https://ec-qa-storage.kldlms.com/ItemVariation/08DD146B-515B-431C-8959-A574741E9C18/817C8BA4-CBDE-4579-9494-DF1BA5460E25.jpg","Variant Image")</f>
      </c>
      <c r="U1467" s="0">
        <f>HYPERLINK("https://ec-qa-storage.kldlms.com/Item/08DD146B-515B-431C-8959-A574741E9C18/96286F9A-1C98-40DA-BC77-D78C9A2B6E16.jpg","Thumbnail Image")</f>
      </c>
      <c r="V1467" s="0">
        <f>HYPERLINK("https://ec-qa-storage.kldlms.com/ItemGallery/08DD146B-515B-431C-8959-A574741E9C18/91626509-38E1-4010-A318-8C0CB7A93243.jpg","Gallery Image ")</f>
      </c>
      <c r="W1467" s="0" t="s">
        <v>22</v>
      </c>
    </row>
    <row r="1468">
      <c r="A1468" s="0" t="s">
        <v>5131</v>
      </c>
      <c r="B1468" s="0" t="s">
        <v>5131</v>
      </c>
      <c r="C1468" s="0" t="s">
        <v>5132</v>
      </c>
      <c r="D1468" s="0" t="s">
        <v>27</v>
      </c>
      <c r="E1468" s="0" t="s">
        <v>3136</v>
      </c>
      <c r="F1468" s="0" t="s">
        <v>3137</v>
      </c>
      <c r="G1468" s="0" t="s">
        <v>5131</v>
      </c>
      <c r="H1468" s="0" t="s">
        <v>5131</v>
      </c>
      <c r="I1468" s="0" t="s">
        <v>5133</v>
      </c>
      <c r="J1468" s="0" t="s">
        <v>5133</v>
      </c>
      <c r="K1468" s="0" t="s">
        <v>5134</v>
      </c>
      <c r="L1468" s="0" t="s">
        <v>32</v>
      </c>
      <c r="M1468" s="0" t="s">
        <v>61</v>
      </c>
      <c r="N1468" s="0" t="s">
        <v>32</v>
      </c>
      <c r="O1468" s="0" t="s">
        <v>35</v>
      </c>
      <c r="P1468" s="0" t="s">
        <v>527</v>
      </c>
      <c r="Q1468" s="0" t="s">
        <v>5134</v>
      </c>
      <c r="R1468" s="0" t="s">
        <v>5132</v>
      </c>
      <c r="S1468" s="0" t="s">
        <v>32</v>
      </c>
      <c r="T1468" s="0">
        <f>HYPERLINK("https://ec-qa-storage.kldlms.com/ItemVariation/08DD146B-D6F8-4754-87D8-8AA1425706A1/B1DF09CA-F7CE-4ECB-AC72-1283B1780131.jpg","Variant Image")</f>
      </c>
      <c r="U1468" s="0">
        <f>HYPERLINK("https://ec-qa-storage.kldlms.com/Item/08DD146B-D6F8-4754-87D8-8AA1425706A1/80609336-911D-46BB-BDE6-DD74936BDF76.jpg","Thumbnail Image")</f>
      </c>
      <c r="V1468" s="0">
        <f>HYPERLINK("https://ec-qa-storage.kldlms.com/ItemGallery/08DD146B-D6F8-4754-87D8-8AA1425706A1/439F1475-D3AF-455C-B72F-C5EF66FD1B76.jpg","Gallery Image ")</f>
      </c>
      <c r="W1468" s="0" t="s">
        <v>22</v>
      </c>
    </row>
    <row r="1469">
      <c r="A1469" s="0" t="s">
        <v>5131</v>
      </c>
      <c r="B1469" s="0" t="s">
        <v>5131</v>
      </c>
      <c r="C1469" s="0" t="s">
        <v>5135</v>
      </c>
      <c r="D1469" s="0" t="s">
        <v>27</v>
      </c>
      <c r="E1469" s="0" t="s">
        <v>3136</v>
      </c>
      <c r="F1469" s="0" t="s">
        <v>3137</v>
      </c>
      <c r="G1469" s="0" t="s">
        <v>5131</v>
      </c>
      <c r="H1469" s="0" t="s">
        <v>5131</v>
      </c>
      <c r="I1469" s="0" t="s">
        <v>5136</v>
      </c>
      <c r="J1469" s="0" t="s">
        <v>5136</v>
      </c>
      <c r="K1469" s="0" t="s">
        <v>5137</v>
      </c>
      <c r="L1469" s="0" t="s">
        <v>32</v>
      </c>
      <c r="M1469" s="0" t="s">
        <v>61</v>
      </c>
      <c r="N1469" s="0" t="s">
        <v>32</v>
      </c>
      <c r="O1469" s="0" t="s">
        <v>35</v>
      </c>
      <c r="P1469" s="0" t="s">
        <v>527</v>
      </c>
      <c r="Q1469" s="0" t="s">
        <v>5137</v>
      </c>
      <c r="R1469" s="0" t="s">
        <v>5135</v>
      </c>
      <c r="S1469" s="0" t="s">
        <v>32</v>
      </c>
      <c r="T1469" s="0">
        <f>HYPERLINK("https://ec-qa-storage.kldlms.com/ItemVariation/08DD146B-D7D4-4E15-8525-5EC83C993412/345F71F4-D6BD-48FF-878E-4EDC695301B0.jpg","Variant Image")</f>
      </c>
      <c r="U1469" s="0">
        <f>HYPERLINK("https://ec-qa-storage.kldlms.com/Item/08DD146B-D7D4-4E15-8525-5EC83C993412/8D59D0C1-DE44-4209-9E60-EDE1562A03C5.jpg","Thumbnail Image")</f>
      </c>
      <c r="V1469" s="0">
        <f>HYPERLINK("https://ec-qa-storage.kldlms.com/ItemGallery/08DD146B-D7D4-4E15-8525-5EC83C993412/D761A02E-A357-4729-9A4A-9E01284E1F97.jpg","Gallery Image ")</f>
      </c>
      <c r="W1469" s="0" t="s">
        <v>22</v>
      </c>
    </row>
    <row r="1470">
      <c r="A1470" s="0" t="s">
        <v>5131</v>
      </c>
      <c r="B1470" s="0" t="s">
        <v>5131</v>
      </c>
      <c r="C1470" s="0" t="s">
        <v>5138</v>
      </c>
      <c r="D1470" s="0" t="s">
        <v>27</v>
      </c>
      <c r="E1470" s="0" t="s">
        <v>3136</v>
      </c>
      <c r="F1470" s="0" t="s">
        <v>3137</v>
      </c>
      <c r="G1470" s="0" t="s">
        <v>5131</v>
      </c>
      <c r="H1470" s="0" t="s">
        <v>5131</v>
      </c>
      <c r="I1470" s="0" t="s">
        <v>5136</v>
      </c>
      <c r="J1470" s="0" t="s">
        <v>5136</v>
      </c>
      <c r="K1470" s="0" t="s">
        <v>5139</v>
      </c>
      <c r="L1470" s="0" t="s">
        <v>32</v>
      </c>
      <c r="M1470" s="0" t="s">
        <v>61</v>
      </c>
      <c r="N1470" s="0" t="s">
        <v>32</v>
      </c>
      <c r="O1470" s="0" t="s">
        <v>35</v>
      </c>
      <c r="P1470" s="0" t="s">
        <v>527</v>
      </c>
      <c r="Q1470" s="0" t="s">
        <v>5139</v>
      </c>
      <c r="R1470" s="0" t="s">
        <v>5138</v>
      </c>
      <c r="S1470" s="0" t="s">
        <v>32</v>
      </c>
      <c r="T1470" s="0">
        <f>HYPERLINK("https://ec-qa-storage.kldlms.com/ItemVariation/08DD146B-D7E0-49C0-81AE-4E38A6F66038/7F17485D-7BCF-417A-B27F-ECEE9220DB00.jpg","Variant Image")</f>
      </c>
      <c r="U1470" s="0">
        <f>HYPERLINK("https://ec-qa-storage.kldlms.com/Item/08DD146B-D7E0-49C0-81AE-4E38A6F66038/8BEBC17D-8DE9-4BEB-9244-E168F10ADD01.jpg","Thumbnail Image")</f>
      </c>
      <c r="V1470" s="0">
        <f>HYPERLINK("https://ec-qa-storage.kldlms.com/ItemGallery/08DD146B-D7E0-49C0-81AE-4E38A6F66038/F32602BE-1562-4412-849A-EF00251F6139.jpg","Gallery Image ")</f>
      </c>
      <c r="W1470" s="0" t="s">
        <v>22</v>
      </c>
    </row>
    <row r="1471">
      <c r="A1471" s="0" t="s">
        <v>5140</v>
      </c>
      <c r="B1471" s="0" t="s">
        <v>5140</v>
      </c>
      <c r="C1471" s="0" t="s">
        <v>5141</v>
      </c>
      <c r="D1471" s="0" t="s">
        <v>27</v>
      </c>
      <c r="E1471" s="0" t="s">
        <v>3155</v>
      </c>
      <c r="F1471" s="0" t="s">
        <v>3137</v>
      </c>
      <c r="G1471" s="0" t="s">
        <v>5140</v>
      </c>
      <c r="H1471" s="0" t="s">
        <v>5140</v>
      </c>
      <c r="I1471" s="0" t="s">
        <v>5142</v>
      </c>
      <c r="J1471" s="0" t="s">
        <v>5142</v>
      </c>
      <c r="K1471" s="0" t="s">
        <v>5143</v>
      </c>
      <c r="L1471" s="0" t="s">
        <v>32</v>
      </c>
      <c r="M1471" s="0" t="s">
        <v>61</v>
      </c>
      <c r="N1471" s="0" t="s">
        <v>32</v>
      </c>
      <c r="O1471" s="0" t="s">
        <v>35</v>
      </c>
      <c r="P1471" s="0" t="s">
        <v>527</v>
      </c>
      <c r="Q1471" s="0" t="s">
        <v>5143</v>
      </c>
      <c r="R1471" s="0" t="s">
        <v>5141</v>
      </c>
      <c r="S1471" s="0" t="s">
        <v>32</v>
      </c>
      <c r="T1471" s="0">
        <f>HYPERLINK("https://ec-qa-storage.kldlms.com/ItemVariation/08DD146B-D927-48C0-84BC-2FA6D57F0A96/6A18186E-289F-4DF6-A519-0EF4FD512C29.jpg","Variant Image")</f>
      </c>
      <c r="U1471" s="0">
        <f>HYPERLINK("https://ec-qa-storage.kldlms.com/Item/08DD146B-D927-48C0-84BC-2FA6D57F0A96/39CB36A9-A0F3-4C1C-9090-263B9299BF3F.jpg","Thumbnail Image")</f>
      </c>
      <c r="V1471" s="0">
        <f>HYPERLINK("https://ec-qa-storage.kldlms.com/ItemGallery/08DD146B-D927-48C0-84BC-2FA6D57F0A96/40151680-66D8-446F-AB7C-C3879DDB6BE8.webp","Gallery Image ")</f>
      </c>
      <c r="W1471" s="0" t="s">
        <v>22</v>
      </c>
    </row>
    <row r="1472">
      <c r="A1472" s="0" t="s">
        <v>5144</v>
      </c>
      <c r="B1472" s="0" t="s">
        <v>5144</v>
      </c>
      <c r="C1472" s="0" t="s">
        <v>5145</v>
      </c>
      <c r="D1472" s="0" t="s">
        <v>27</v>
      </c>
      <c r="E1472" s="0" t="s">
        <v>3155</v>
      </c>
      <c r="F1472" s="0" t="s">
        <v>3137</v>
      </c>
      <c r="G1472" s="0" t="s">
        <v>5144</v>
      </c>
      <c r="H1472" s="0" t="s">
        <v>5144</v>
      </c>
      <c r="I1472" s="0" t="s">
        <v>5146</v>
      </c>
      <c r="J1472" s="0" t="s">
        <v>5146</v>
      </c>
      <c r="K1472" s="0" t="s">
        <v>5147</v>
      </c>
      <c r="L1472" s="0" t="s">
        <v>32</v>
      </c>
      <c r="M1472" s="0" t="s">
        <v>61</v>
      </c>
      <c r="N1472" s="0" t="s">
        <v>32</v>
      </c>
      <c r="O1472" s="0" t="s">
        <v>35</v>
      </c>
      <c r="P1472" s="0" t="s">
        <v>527</v>
      </c>
      <c r="Q1472" s="0" t="s">
        <v>5147</v>
      </c>
      <c r="R1472" s="0" t="s">
        <v>5145</v>
      </c>
      <c r="S1472" s="0" t="s">
        <v>32</v>
      </c>
      <c r="T1472" s="0">
        <f>HYPERLINK("https://ec-qa-storage.kldlms.com/ItemVariation/08DD146B-DCA8-41E1-8772-4FA4124806BA/41C6189B-FE3A-43AF-A7FA-48347B272936.jpg","Variant Image")</f>
      </c>
      <c r="U1472" s="0">
        <f>HYPERLINK("https://ec-qa-storage.kldlms.com/Item/08DD146B-DCA8-41E1-8772-4FA4124806BA/6635CBA7-AEB0-4726-9C08-77CFDCA7E829.jpg","Thumbnail Image")</f>
      </c>
      <c r="V1472" s="0">
        <f>HYPERLINK("https://ec-qa-storage.kldlms.com/ItemGallery/08DD146B-DCA8-41E1-8772-4FA4124806BA/1D29BE03-4AF4-4AD0-BDCA-F2B26B7C3F2A.jpg","Gallery Image ")</f>
      </c>
      <c r="W1472" s="0" t="s">
        <v>22</v>
      </c>
    </row>
    <row r="1473">
      <c r="P1473" s="0" t="s">
        <v>593</v>
      </c>
      <c r="Q1473" s="0" t="s">
        <v>5147</v>
      </c>
      <c r="R1473" s="0" t="s">
        <v>3322</v>
      </c>
      <c r="S1473" s="0" t="s">
        <v>32</v>
      </c>
      <c r="T1473" s="0">
        <f>HYPERLINK("https://ec-qa-storage.kldlms.com/ItemVariation/08DD146B-DCA8-41E1-8772-4FA4124806BA/73808EC9-640D-407F-8172-5E3D7CECD6A3.jpg","Variant Image")</f>
      </c>
    </row>
    <row r="1474">
      <c r="A1474" s="0" t="s">
        <v>4922</v>
      </c>
      <c r="B1474" s="0" t="s">
        <v>4922</v>
      </c>
      <c r="C1474" s="0" t="s">
        <v>5148</v>
      </c>
      <c r="D1474" s="0" t="s">
        <v>27</v>
      </c>
      <c r="E1474" s="0" t="s">
        <v>3155</v>
      </c>
      <c r="F1474" s="0" t="s">
        <v>3137</v>
      </c>
      <c r="G1474" s="0" t="s">
        <v>4922</v>
      </c>
      <c r="H1474" s="0" t="s">
        <v>4922</v>
      </c>
      <c r="I1474" s="0" t="s">
        <v>5149</v>
      </c>
      <c r="J1474" s="0" t="s">
        <v>5149</v>
      </c>
      <c r="K1474" s="0" t="s">
        <v>5150</v>
      </c>
      <c r="L1474" s="0" t="s">
        <v>32</v>
      </c>
      <c r="M1474" s="0" t="s">
        <v>61</v>
      </c>
      <c r="N1474" s="0" t="s">
        <v>32</v>
      </c>
      <c r="O1474" s="0" t="s">
        <v>35</v>
      </c>
      <c r="P1474" s="0" t="s">
        <v>527</v>
      </c>
      <c r="Q1474" s="0" t="s">
        <v>5150</v>
      </c>
      <c r="R1474" s="0" t="s">
        <v>5148</v>
      </c>
      <c r="S1474" s="0" t="s">
        <v>32</v>
      </c>
      <c r="T1474" s="0">
        <f>HYPERLINK("https://ec-qa-storage.kldlms.com/ItemVariation/08DD146B-DF04-4B93-8523-92AC34A8B119/E01A139E-3B46-40FC-AE4A-824BE979B111.jpg","Variant Image")</f>
      </c>
      <c r="U1474" s="0">
        <f>HYPERLINK("https://ec-qa-storage.kldlms.com/Item/08DD146B-DF04-4B93-8523-92AC34A8B119/412C9164-0ED6-4AA2-BF8E-0E8B9D168F35.jpg","Thumbnail Image")</f>
      </c>
      <c r="V1474" s="0">
        <f>HYPERLINK("https://ec-qa-storage.kldlms.com/ItemGallery/08DD146B-DF04-4B93-8523-92AC34A8B119/FBAB2CD2-1A60-4972-8326-1AA2F1C0207C.jpg","Gallery Image ")</f>
      </c>
      <c r="W1474" s="0" t="s">
        <v>22</v>
      </c>
    </row>
    <row r="1475">
      <c r="A1475" s="0" t="s">
        <v>3294</v>
      </c>
      <c r="B1475" s="0" t="s">
        <v>3294</v>
      </c>
      <c r="C1475" s="0" t="s">
        <v>5151</v>
      </c>
      <c r="D1475" s="0" t="s">
        <v>27</v>
      </c>
      <c r="E1475" s="0" t="s">
        <v>3155</v>
      </c>
      <c r="F1475" s="0" t="s">
        <v>3137</v>
      </c>
      <c r="G1475" s="0" t="s">
        <v>3294</v>
      </c>
      <c r="H1475" s="0" t="s">
        <v>3294</v>
      </c>
      <c r="I1475" s="0" t="s">
        <v>5152</v>
      </c>
      <c r="J1475" s="0" t="s">
        <v>5152</v>
      </c>
      <c r="K1475" s="0" t="s">
        <v>2357</v>
      </c>
      <c r="L1475" s="0" t="s">
        <v>32</v>
      </c>
      <c r="M1475" s="0" t="s">
        <v>61</v>
      </c>
      <c r="N1475" s="0" t="s">
        <v>32</v>
      </c>
      <c r="O1475" s="0" t="s">
        <v>35</v>
      </c>
      <c r="P1475" s="0" t="s">
        <v>527</v>
      </c>
      <c r="Q1475" s="0" t="s">
        <v>2357</v>
      </c>
      <c r="R1475" s="0" t="s">
        <v>5151</v>
      </c>
      <c r="S1475" s="0" t="s">
        <v>32</v>
      </c>
      <c r="T1475" s="0">
        <f>HYPERLINK("https://ec-qa-storage.kldlms.com/ItemVariation/08DD146B-E193-4A27-81AD-CAFD31AC7F60/0F8E8A56-C4FF-46CF-9FB3-35C2B2E33952.jpg","Variant Image")</f>
      </c>
      <c r="U1475" s="0">
        <f>HYPERLINK("https://ec-qa-storage.kldlms.com/Item/08DD146B-E193-4A27-81AD-CAFD31AC7F60/DCE3B2BA-CF91-4C93-B549-34E03324EB3E.jpg","Thumbnail Image")</f>
      </c>
      <c r="V1475" s="0">
        <f>HYPERLINK("https://ec-qa-storage.kldlms.com/ItemGallery/08DD146B-E193-4A27-81AD-CAFD31AC7F60/643CA394-45F0-45B9-A40D-3F8183389EB5.jpg","Gallery Image ")</f>
      </c>
      <c r="W1475" s="0" t="s">
        <v>22</v>
      </c>
    </row>
    <row r="1476">
      <c r="A1476" s="0" t="s">
        <v>3186</v>
      </c>
      <c r="B1476" s="0" t="s">
        <v>3186</v>
      </c>
      <c r="C1476" s="0" t="s">
        <v>5153</v>
      </c>
      <c r="D1476" s="0" t="s">
        <v>27</v>
      </c>
      <c r="E1476" s="0" t="s">
        <v>3155</v>
      </c>
      <c r="F1476" s="0" t="s">
        <v>3137</v>
      </c>
      <c r="G1476" s="0" t="s">
        <v>3186</v>
      </c>
      <c r="H1476" s="0" t="s">
        <v>3186</v>
      </c>
      <c r="I1476" s="0" t="s">
        <v>5154</v>
      </c>
      <c r="J1476" s="0" t="s">
        <v>5154</v>
      </c>
      <c r="K1476" s="0" t="s">
        <v>5155</v>
      </c>
      <c r="L1476" s="0" t="s">
        <v>32</v>
      </c>
      <c r="M1476" s="0" t="s">
        <v>61</v>
      </c>
      <c r="N1476" s="0" t="s">
        <v>32</v>
      </c>
      <c r="O1476" s="0" t="s">
        <v>35</v>
      </c>
      <c r="P1476" s="0" t="s">
        <v>527</v>
      </c>
      <c r="Q1476" s="0" t="s">
        <v>5155</v>
      </c>
      <c r="R1476" s="0" t="s">
        <v>5153</v>
      </c>
      <c r="S1476" s="0" t="s">
        <v>32</v>
      </c>
      <c r="T1476" s="0">
        <f>HYPERLINK("https://ec-qa-storage.kldlms.com/ItemVariation/08DD146B-E271-4C77-82D2-F594F59D0422/C15A3161-F231-4BC6-824A-53877D632066.jpg","Variant Image")</f>
      </c>
      <c r="U1476" s="0">
        <f>HYPERLINK("https://ec-qa-storage.kldlms.com/Item/08DD146B-E271-4C77-82D2-F594F59D0422/4E047680-6B1A-484F-BDF6-4DEA38A21FB0.jpg","Thumbnail Image")</f>
      </c>
      <c r="V1476" s="0">
        <f>HYPERLINK("https://ec-qa-storage.kldlms.com/ItemGallery/08DD146B-E271-4C77-82D2-F594F59D0422/0F2EF812-BA1F-4714-820F-5F86A93062E0.jpg","Gallery Image ")</f>
      </c>
      <c r="W1476" s="0" t="s">
        <v>22</v>
      </c>
    </row>
    <row r="1477">
      <c r="P1477" s="0" t="s">
        <v>593</v>
      </c>
      <c r="Q1477" s="0" t="s">
        <v>5155</v>
      </c>
      <c r="R1477" s="0" t="s">
        <v>5156</v>
      </c>
      <c r="S1477" s="0" t="s">
        <v>32</v>
      </c>
      <c r="T1477" s="0">
        <f>HYPERLINK("https://ec-qa-storage.kldlms.com/ItemVariation/08DD146B-E271-4C77-82D2-F594F59D0422/3C8679B5-4CB2-41F4-976C-AA0A50C8680D.jpg","Variant Image")</f>
      </c>
    </row>
    <row r="1478">
      <c r="A1478" s="0" t="s">
        <v>5157</v>
      </c>
      <c r="B1478" s="0" t="s">
        <v>5157</v>
      </c>
      <c r="C1478" s="0" t="s">
        <v>5158</v>
      </c>
      <c r="D1478" s="0" t="s">
        <v>27</v>
      </c>
      <c r="E1478" s="0" t="s">
        <v>3155</v>
      </c>
      <c r="F1478" s="0" t="s">
        <v>3137</v>
      </c>
      <c r="G1478" s="0" t="s">
        <v>5157</v>
      </c>
      <c r="H1478" s="0" t="s">
        <v>5157</v>
      </c>
      <c r="I1478" s="0" t="s">
        <v>5159</v>
      </c>
      <c r="J1478" s="0" t="s">
        <v>5159</v>
      </c>
      <c r="K1478" s="0" t="s">
        <v>5160</v>
      </c>
      <c r="L1478" s="0" t="s">
        <v>32</v>
      </c>
      <c r="M1478" s="0" t="s">
        <v>61</v>
      </c>
      <c r="N1478" s="0" t="s">
        <v>32</v>
      </c>
      <c r="O1478" s="0" t="s">
        <v>35</v>
      </c>
      <c r="P1478" s="0" t="s">
        <v>593</v>
      </c>
      <c r="Q1478" s="0" t="s">
        <v>5160</v>
      </c>
      <c r="R1478" s="0" t="s">
        <v>5158</v>
      </c>
      <c r="S1478" s="0" t="s">
        <v>32</v>
      </c>
      <c r="T1478" s="0">
        <f>HYPERLINK("https://ec-qa-storage.kldlms.com/ItemVariation/08DD146B-E296-4E5D-862E-18940A321A56/995F67F2-3EBF-4CCD-99D2-7724FBE843AF.jpeg","Variant Image")</f>
      </c>
      <c r="U1478" s="0">
        <f>HYPERLINK("https://ec-qa-storage.kldlms.com/Item/08DD146B-E296-4E5D-862E-18940A321A56/9CBDC25F-5801-4C63-8136-AD1274AAA7AD.jpeg","Thumbnail Image")</f>
      </c>
      <c r="V1478" s="0">
        <f>HYPERLINK("https://ec-qa-storage.kldlms.com/ItemGallery/08DD146B-E296-4E5D-862E-18940A321A56/4E170B03-7379-4981-92D1-B90FF1F59707.jpg","Gallery Image ")</f>
      </c>
      <c r="W1478" s="0" t="s">
        <v>22</v>
      </c>
    </row>
    <row r="1479">
      <c r="A1479" s="0" t="s">
        <v>4840</v>
      </c>
      <c r="B1479" s="0" t="s">
        <v>4840</v>
      </c>
      <c r="C1479" s="0" t="s">
        <v>5161</v>
      </c>
      <c r="D1479" s="0" t="s">
        <v>27</v>
      </c>
      <c r="E1479" s="0" t="s">
        <v>3136</v>
      </c>
      <c r="F1479" s="0" t="s">
        <v>3137</v>
      </c>
      <c r="G1479" s="0" t="s">
        <v>4840</v>
      </c>
      <c r="H1479" s="0" t="s">
        <v>4840</v>
      </c>
      <c r="I1479" s="0" t="s">
        <v>5162</v>
      </c>
      <c r="J1479" s="0" t="s">
        <v>5162</v>
      </c>
      <c r="K1479" s="0" t="s">
        <v>5163</v>
      </c>
      <c r="L1479" s="0" t="s">
        <v>32</v>
      </c>
      <c r="M1479" s="0" t="s">
        <v>61</v>
      </c>
      <c r="N1479" s="0" t="s">
        <v>32</v>
      </c>
      <c r="O1479" s="0" t="s">
        <v>35</v>
      </c>
      <c r="P1479" s="0" t="s">
        <v>527</v>
      </c>
      <c r="Q1479" s="0" t="s">
        <v>5163</v>
      </c>
      <c r="R1479" s="0" t="s">
        <v>5161</v>
      </c>
      <c r="S1479" s="0" t="s">
        <v>32</v>
      </c>
      <c r="T1479" s="0">
        <f>HYPERLINK("https://ec-qa-storage.kldlms.com/ItemVariation/08DD146C-4BDB-4A0B-822A-FD48CEC735EC/1BD217FC-21B5-4781-BD33-34115348EC3F.jpg","Variant Image")</f>
      </c>
      <c r="U1479" s="0">
        <f>HYPERLINK("https://ec-qa-storage.kldlms.com/Item/08DD146C-4BDB-4A0B-822A-FD48CEC735EC/2CA3B2EA-2D78-4191-ABC5-F5C892AB0421.jpg","Thumbnail Image")</f>
      </c>
      <c r="V1479" s="0">
        <f>HYPERLINK("https://ec-qa-storage.kldlms.com/ItemGallery/08DD146C-4BDB-4A0B-822A-FD48CEC735EC/E7C0B075-BC0F-4843-AC94-33AB3F1262C9.jpg","Gallery Image ")</f>
      </c>
      <c r="W1479" s="0" t="s">
        <v>22</v>
      </c>
    </row>
    <row r="1480">
      <c r="A1480" s="0" t="s">
        <v>4845</v>
      </c>
      <c r="B1480" s="0" t="s">
        <v>4845</v>
      </c>
      <c r="C1480" s="0" t="s">
        <v>5164</v>
      </c>
      <c r="D1480" s="0" t="s">
        <v>27</v>
      </c>
      <c r="E1480" s="0" t="s">
        <v>3136</v>
      </c>
      <c r="F1480" s="0" t="s">
        <v>3137</v>
      </c>
      <c r="G1480" s="0" t="s">
        <v>4845</v>
      </c>
      <c r="H1480" s="0" t="s">
        <v>4845</v>
      </c>
      <c r="I1480" s="0" t="s">
        <v>5165</v>
      </c>
      <c r="J1480" s="0" t="s">
        <v>5165</v>
      </c>
      <c r="K1480" s="0" t="s">
        <v>4836</v>
      </c>
      <c r="L1480" s="0" t="s">
        <v>32</v>
      </c>
      <c r="M1480" s="0" t="s">
        <v>61</v>
      </c>
      <c r="N1480" s="0" t="s">
        <v>32</v>
      </c>
      <c r="O1480" s="0" t="s">
        <v>35</v>
      </c>
      <c r="P1480" s="0" t="s">
        <v>527</v>
      </c>
      <c r="Q1480" s="0" t="s">
        <v>4836</v>
      </c>
      <c r="R1480" s="0" t="s">
        <v>5164</v>
      </c>
      <c r="S1480" s="0" t="s">
        <v>32</v>
      </c>
      <c r="T1480" s="0">
        <f>HYPERLINK("https://ec-qa-storage.kldlms.com/ItemVariation/08DD146C-4D11-434E-8096-289F299CBA72/4E6ECF60-AEE4-4562-AB89-967F46EFE8D6.jpg","Variant Image")</f>
      </c>
      <c r="U1480" s="0">
        <f>HYPERLINK("https://ec-qa-storage.kldlms.com/Item/08DD146C-4D11-434E-8096-289F299CBA72/633B7DB4-DF7F-41C0-B8D9-2C19EAA37C4E.jpg","Thumbnail Image")</f>
      </c>
      <c r="V1480" s="0">
        <f>HYPERLINK("https://ec-qa-storage.kldlms.com/ItemGallery/08DD146C-4D11-434E-8096-289F299CBA72/48F4CD36-D361-4DF6-8FE1-F057C9E88B37.jpg","Gallery Image ")</f>
      </c>
      <c r="W1480" s="0" t="s">
        <v>22</v>
      </c>
    </row>
    <row r="1481">
      <c r="P1481" s="0" t="s">
        <v>593</v>
      </c>
      <c r="Q1481" s="0" t="s">
        <v>4836</v>
      </c>
      <c r="R1481" s="0" t="s">
        <v>5166</v>
      </c>
      <c r="S1481" s="0" t="s">
        <v>32</v>
      </c>
      <c r="T1481" s="0">
        <f>HYPERLINK("https://ec-qa-storage.kldlms.com/ItemVariation/08DD146C-4D11-434E-8096-289F299CBA72/38E2765F-0FB2-46C7-B3C1-93B9657E5F8D.jpg","Variant Image")</f>
      </c>
    </row>
    <row r="1482">
      <c r="A1482" s="0" t="s">
        <v>5167</v>
      </c>
      <c r="B1482" s="0" t="s">
        <v>5167</v>
      </c>
      <c r="C1482" s="0" t="s">
        <v>5168</v>
      </c>
      <c r="D1482" s="0" t="s">
        <v>27</v>
      </c>
      <c r="E1482" s="0" t="s">
        <v>3879</v>
      </c>
      <c r="F1482" s="0" t="s">
        <v>3137</v>
      </c>
      <c r="G1482" s="0" t="s">
        <v>5167</v>
      </c>
      <c r="H1482" s="0" t="s">
        <v>5167</v>
      </c>
      <c r="I1482" s="0" t="s">
        <v>5169</v>
      </c>
      <c r="J1482" s="0" t="s">
        <v>5169</v>
      </c>
      <c r="K1482" s="0" t="s">
        <v>73</v>
      </c>
      <c r="L1482" s="0" t="s">
        <v>32</v>
      </c>
      <c r="M1482" s="0" t="s">
        <v>61</v>
      </c>
      <c r="N1482" s="0" t="s">
        <v>32</v>
      </c>
      <c r="O1482" s="0" t="s">
        <v>35</v>
      </c>
      <c r="P1482" s="0" t="s">
        <v>527</v>
      </c>
      <c r="Q1482" s="0" t="s">
        <v>73</v>
      </c>
      <c r="R1482" s="0" t="s">
        <v>5168</v>
      </c>
      <c r="S1482" s="0" t="s">
        <v>32</v>
      </c>
      <c r="T1482" s="0">
        <f>HYPERLINK("https://ec-qa-storage.kldlms.com/ItemVariation/08DD146C-502E-4E37-8CBB-0430EDF4A5F5/02244A2F-CCE2-41AC-8995-6CBDB0F77E58.jpg","Variant Image")</f>
      </c>
      <c r="U1482" s="0">
        <f>HYPERLINK("https://ec-qa-storage.kldlms.com/Item/08DD146C-502E-4E37-8CBB-0430EDF4A5F5/783B3858-4710-4E2C-9CDA-3876CD7CA902.jpg","Thumbnail Image")</f>
      </c>
      <c r="V1482" s="0">
        <f>HYPERLINK("https://ec-qa-storage.kldlms.com/ItemGallery/08DD146C-502E-4E37-8CBB-0430EDF4A5F5/B7144E02-63D5-420F-94E5-3FC16DB251DD.jpg","Gallery Image ")</f>
      </c>
      <c r="W1482" s="0" t="s">
        <v>22</v>
      </c>
    </row>
    <row r="1483">
      <c r="A1483" s="0" t="s">
        <v>2521</v>
      </c>
      <c r="B1483" s="0" t="s">
        <v>2521</v>
      </c>
      <c r="C1483" s="0" t="s">
        <v>5170</v>
      </c>
      <c r="D1483" s="0" t="s">
        <v>27</v>
      </c>
      <c r="E1483" s="0" t="s">
        <v>4943</v>
      </c>
      <c r="F1483" s="0" t="s">
        <v>3137</v>
      </c>
      <c r="G1483" s="0" t="s">
        <v>2521</v>
      </c>
      <c r="H1483" s="0" t="s">
        <v>2521</v>
      </c>
      <c r="I1483" s="0" t="s">
        <v>5171</v>
      </c>
      <c r="J1483" s="0" t="s">
        <v>5171</v>
      </c>
      <c r="K1483" s="0" t="s">
        <v>1178</v>
      </c>
      <c r="L1483" s="0" t="s">
        <v>32</v>
      </c>
      <c r="M1483" s="0" t="s">
        <v>61</v>
      </c>
      <c r="N1483" s="0" t="s">
        <v>32</v>
      </c>
      <c r="O1483" s="0" t="s">
        <v>35</v>
      </c>
      <c r="P1483" s="0" t="s">
        <v>527</v>
      </c>
      <c r="Q1483" s="0" t="s">
        <v>1178</v>
      </c>
      <c r="R1483" s="0" t="s">
        <v>5170</v>
      </c>
      <c r="S1483" s="0" t="s">
        <v>32</v>
      </c>
      <c r="T1483" s="0">
        <f>HYPERLINK("https://ec-qa-storage.kldlms.com/ItemVariation/08DD146C-512F-42E5-86D4-3B295C45DD9D/B9D43699-ABDC-48FB-87D7-6994B265E35E.jpg","Variant Image")</f>
      </c>
      <c r="U1483" s="0">
        <f>HYPERLINK("https://ec-qa-storage.kldlms.com/Item/08DD146C-512F-42E5-86D4-3B295C45DD9D/322F51EE-24A5-4107-9063-9DD203189A06.jpg","Thumbnail Image")</f>
      </c>
      <c r="V1483" s="0">
        <f>HYPERLINK("https://ec-qa-storage.kldlms.com/ItemGallery/08DD146C-512F-42E5-86D4-3B295C45DD9D/EFCB780D-AB15-4BD5-9055-554F71F83697.jpg","Gallery Image ")</f>
      </c>
      <c r="W1483" s="0" t="s">
        <v>22</v>
      </c>
    </row>
    <row r="1484">
      <c r="A1484" s="0" t="s">
        <v>5172</v>
      </c>
      <c r="B1484" s="0" t="s">
        <v>5172</v>
      </c>
      <c r="C1484" s="0" t="s">
        <v>5173</v>
      </c>
      <c r="D1484" s="0" t="s">
        <v>27</v>
      </c>
      <c r="E1484" s="0" t="s">
        <v>4943</v>
      </c>
      <c r="F1484" s="0" t="s">
        <v>3137</v>
      </c>
      <c r="G1484" s="0" t="s">
        <v>5172</v>
      </c>
      <c r="H1484" s="0" t="s">
        <v>5172</v>
      </c>
      <c r="I1484" s="0" t="s">
        <v>5174</v>
      </c>
      <c r="J1484" s="0" t="s">
        <v>5174</v>
      </c>
      <c r="K1484" s="0" t="s">
        <v>5175</v>
      </c>
      <c r="L1484" s="0" t="s">
        <v>32</v>
      </c>
      <c r="M1484" s="0" t="s">
        <v>61</v>
      </c>
      <c r="N1484" s="0" t="s">
        <v>32</v>
      </c>
      <c r="O1484" s="0" t="s">
        <v>35</v>
      </c>
      <c r="P1484" s="0" t="s">
        <v>527</v>
      </c>
      <c r="Q1484" s="0" t="s">
        <v>5175</v>
      </c>
      <c r="R1484" s="0" t="s">
        <v>5173</v>
      </c>
      <c r="S1484" s="0" t="s">
        <v>32</v>
      </c>
      <c r="T1484" s="0">
        <f>HYPERLINK("https://ec-qa-storage.kldlms.com/ItemVariation/08DD146C-530D-46FA-8203-5A313A2D74A1/99462AF6-DFF1-43B6-AA33-7773CA238EE3.jpg","Variant Image")</f>
      </c>
      <c r="U1484" s="0">
        <f>HYPERLINK("https://ec-qa-storage.kldlms.com/Item/08DD146C-530D-46FA-8203-5A313A2D74A1/AA2E4E04-3929-454E-ADB6-BA004C4CDCEA.jpg","Thumbnail Image")</f>
      </c>
      <c r="V1484" s="0">
        <f>HYPERLINK("https://ec-qa-storage.kldlms.com/ItemGallery/08DD146C-530D-46FA-8203-5A313A2D74A1/6AF246DD-2F58-4851-A866-9A1D0D61B899.jpg","Gallery Image ")</f>
      </c>
      <c r="W1484" s="0" t="s">
        <v>22</v>
      </c>
    </row>
    <row r="1485">
      <c r="A1485" s="0" t="s">
        <v>4068</v>
      </c>
      <c r="B1485" s="0" t="s">
        <v>4068</v>
      </c>
      <c r="C1485" s="0" t="s">
        <v>5176</v>
      </c>
      <c r="D1485" s="0" t="s">
        <v>27</v>
      </c>
      <c r="E1485" s="0" t="s">
        <v>4943</v>
      </c>
      <c r="F1485" s="0" t="s">
        <v>3137</v>
      </c>
      <c r="G1485" s="0" t="s">
        <v>4068</v>
      </c>
      <c r="H1485" s="0" t="s">
        <v>4068</v>
      </c>
      <c r="I1485" s="0" t="s">
        <v>5177</v>
      </c>
      <c r="J1485" s="0" t="s">
        <v>5177</v>
      </c>
      <c r="K1485" s="0" t="s">
        <v>5178</v>
      </c>
      <c r="L1485" s="0" t="s">
        <v>32</v>
      </c>
      <c r="M1485" s="0" t="s">
        <v>61</v>
      </c>
      <c r="N1485" s="0" t="s">
        <v>32</v>
      </c>
      <c r="O1485" s="0" t="s">
        <v>35</v>
      </c>
      <c r="P1485" s="0" t="s">
        <v>593</v>
      </c>
      <c r="Q1485" s="0" t="s">
        <v>5178</v>
      </c>
      <c r="R1485" s="0" t="s">
        <v>5176</v>
      </c>
      <c r="S1485" s="0" t="s">
        <v>32</v>
      </c>
      <c r="T1485" s="0">
        <f>HYPERLINK("https://ec-qa-storage.kldlms.com/ItemVariation/08DD146C-538D-4C72-8F6F-9222233F5B00/7C8EDDC5-2BFB-4736-88FD-A6854805B176.jpg","Variant Image")</f>
      </c>
      <c r="U1485" s="0">
        <f>HYPERLINK("https://ec-qa-storage.kldlms.com/Item/08DD146C-538D-4C72-8F6F-9222233F5B00/0AE7AFE5-B4CF-473E-BE66-0EFAA4DDD271.jpg","Thumbnail Image")</f>
      </c>
      <c r="V1485" s="0">
        <f>HYPERLINK("https://ec-qa-storage.kldlms.com/ItemGallery/08DD146C-538D-4C72-8F6F-9222233F5B00/23FA6E67-0438-48CA-81E2-F040487868BB.jpg","Gallery Image ")</f>
      </c>
      <c r="W1485" s="0" t="s">
        <v>22</v>
      </c>
    </row>
    <row r="1486">
      <c r="A1486" s="0" t="s">
        <v>4078</v>
      </c>
      <c r="B1486" s="0" t="s">
        <v>4078</v>
      </c>
      <c r="C1486" s="0" t="s">
        <v>4079</v>
      </c>
      <c r="D1486" s="0" t="s">
        <v>27</v>
      </c>
      <c r="E1486" s="0" t="s">
        <v>3879</v>
      </c>
      <c r="F1486" s="0" t="s">
        <v>3137</v>
      </c>
      <c r="G1486" s="0" t="s">
        <v>4078</v>
      </c>
      <c r="H1486" s="0" t="s">
        <v>4078</v>
      </c>
      <c r="I1486" s="0" t="s">
        <v>5179</v>
      </c>
      <c r="J1486" s="0" t="s">
        <v>5179</v>
      </c>
      <c r="K1486" s="0" t="s">
        <v>4080</v>
      </c>
      <c r="L1486" s="0" t="s">
        <v>32</v>
      </c>
      <c r="M1486" s="0" t="s">
        <v>61</v>
      </c>
      <c r="N1486" s="0" t="s">
        <v>32</v>
      </c>
      <c r="O1486" s="0" t="s">
        <v>35</v>
      </c>
      <c r="P1486" s="0" t="s">
        <v>527</v>
      </c>
      <c r="Q1486" s="0" t="s">
        <v>4080</v>
      </c>
      <c r="R1486" s="0" t="s">
        <v>4079</v>
      </c>
      <c r="S1486" s="0" t="s">
        <v>32</v>
      </c>
      <c r="T1486" s="0">
        <f>HYPERLINK("https://ec-qa-storage.kldlms.com/ItemVariation/08DD146C-539A-4DE2-8155-B6AF89CF781C/4F19C7AB-F8F2-469D-8704-30AC180AD744.webp","Variant Image")</f>
      </c>
      <c r="U1486" s="0">
        <f>HYPERLINK("https://ec-qa-storage.kldlms.com/Item/08DD146C-539A-4DE2-8155-B6AF89CF781C/A2F01BFD-7DC0-4E69-A327-A64575AAD355.webp","Thumbnail Image")</f>
      </c>
      <c r="V1486" s="0">
        <f>HYPERLINK("https://ec-qa-storage.kldlms.com/ItemGallery/08DD146C-539A-4DE2-8155-B6AF89CF781C/0F9591BE-29A2-4956-B6FE-3860023B5D04.webp","Gallery Image ")</f>
      </c>
      <c r="W1486" s="0" t="s">
        <v>22</v>
      </c>
    </row>
    <row r="1487">
      <c r="A1487" s="0" t="s">
        <v>4083</v>
      </c>
      <c r="B1487" s="0" t="s">
        <v>4083</v>
      </c>
      <c r="C1487" s="0" t="s">
        <v>4084</v>
      </c>
      <c r="D1487" s="0" t="s">
        <v>27</v>
      </c>
      <c r="E1487" s="0" t="s">
        <v>3879</v>
      </c>
      <c r="F1487" s="0" t="s">
        <v>3137</v>
      </c>
      <c r="G1487" s="0" t="s">
        <v>4083</v>
      </c>
      <c r="H1487" s="0" t="s">
        <v>4083</v>
      </c>
      <c r="I1487" s="0" t="s">
        <v>5180</v>
      </c>
      <c r="J1487" s="0" t="s">
        <v>5180</v>
      </c>
      <c r="K1487" s="0" t="s">
        <v>4085</v>
      </c>
      <c r="L1487" s="0" t="s">
        <v>32</v>
      </c>
      <c r="M1487" s="0" t="s">
        <v>61</v>
      </c>
      <c r="N1487" s="0" t="s">
        <v>32</v>
      </c>
      <c r="O1487" s="0" t="s">
        <v>35</v>
      </c>
      <c r="P1487" s="0" t="s">
        <v>527</v>
      </c>
      <c r="Q1487" s="0" t="s">
        <v>4085</v>
      </c>
      <c r="R1487" s="0" t="s">
        <v>4084</v>
      </c>
      <c r="S1487" s="0" t="s">
        <v>32</v>
      </c>
      <c r="T1487" s="0">
        <f>HYPERLINK("https://ec-qa-storage.kldlms.com/ItemVariation/08DD146C-53AC-442E-8F7C-3D497D04D322/40A14F5E-8C9C-45AD-AC23-CA6005689BC2.jpg","Variant Image")</f>
      </c>
      <c r="U1487" s="0">
        <f>HYPERLINK("https://ec-qa-storage.kldlms.com/Item/08DD146C-53AC-442E-8F7C-3D497D04D322/F1EDC01B-497A-4A6D-BEDE-6CE2B75FBF0B.jpg","Thumbnail Image")</f>
      </c>
      <c r="V1487" s="0">
        <f>HYPERLINK("https://ec-qa-storage.kldlms.com/ItemGallery/08DD146C-53AC-442E-8F7C-3D497D04D322/95B87399-B241-4F6B-BC0F-16A95E932D6C.jpg","Gallery Image ")</f>
      </c>
      <c r="W1487" s="0" t="s">
        <v>22</v>
      </c>
    </row>
    <row r="1488">
      <c r="A1488" s="0" t="s">
        <v>4119</v>
      </c>
      <c r="B1488" s="0" t="s">
        <v>4119</v>
      </c>
      <c r="C1488" s="0" t="s">
        <v>4120</v>
      </c>
      <c r="D1488" s="0" t="s">
        <v>27</v>
      </c>
      <c r="E1488" s="0" t="s">
        <v>4074</v>
      </c>
      <c r="F1488" s="0" t="s">
        <v>3137</v>
      </c>
      <c r="G1488" s="0" t="s">
        <v>4119</v>
      </c>
      <c r="H1488" s="0" t="s">
        <v>4119</v>
      </c>
      <c r="I1488" s="0" t="s">
        <v>5181</v>
      </c>
      <c r="J1488" s="0" t="s">
        <v>5181</v>
      </c>
      <c r="K1488" s="0" t="s">
        <v>4122</v>
      </c>
      <c r="L1488" s="0" t="s">
        <v>32</v>
      </c>
      <c r="M1488" s="0" t="s">
        <v>61</v>
      </c>
      <c r="N1488" s="0" t="s">
        <v>32</v>
      </c>
      <c r="O1488" s="0" t="s">
        <v>35</v>
      </c>
      <c r="P1488" s="0" t="s">
        <v>5182</v>
      </c>
      <c r="Q1488" s="0" t="s">
        <v>4122</v>
      </c>
      <c r="R1488" s="0" t="s">
        <v>4120</v>
      </c>
      <c r="S1488" s="0" t="s">
        <v>32</v>
      </c>
      <c r="T1488" s="0">
        <f>HYPERLINK("https://ec-qa-storage.kldlms.com/ItemVariation/08DD146C-53C2-447C-80B0-A2F70C958903/3AA059E9-80D0-4CF2-9950-EB65C27972B6.jpg","Variant Image")</f>
      </c>
      <c r="U1488" s="0">
        <f>HYPERLINK("https://ec-qa-storage.kldlms.com/Item/08DD146C-53C2-447C-80B0-A2F70C958903/43347B1A-A568-48B6-B98E-C425BDE3D7E2.jpg","Thumbnail Image")</f>
      </c>
      <c r="V1488" s="0">
        <f>HYPERLINK("https://ec-qa-storage.kldlms.com/ItemGallery/08DD146C-53C2-447C-80B0-A2F70C958903/1C46833C-A38F-43A4-BB5E-93D789550C5C.jpg","Gallery Image ")</f>
      </c>
      <c r="W1488" s="0" t="s">
        <v>22</v>
      </c>
    </row>
    <row r="1489">
      <c r="A1489" s="0" t="s">
        <v>4125</v>
      </c>
      <c r="B1489" s="0" t="s">
        <v>4125</v>
      </c>
      <c r="C1489" s="0" t="s">
        <v>4126</v>
      </c>
      <c r="D1489" s="0" t="s">
        <v>27</v>
      </c>
      <c r="E1489" s="0" t="s">
        <v>4074</v>
      </c>
      <c r="F1489" s="0" t="s">
        <v>3137</v>
      </c>
      <c r="G1489" s="0" t="s">
        <v>4125</v>
      </c>
      <c r="H1489" s="0" t="s">
        <v>4125</v>
      </c>
      <c r="I1489" s="0" t="s">
        <v>5183</v>
      </c>
      <c r="J1489" s="0" t="s">
        <v>5183</v>
      </c>
      <c r="K1489" s="0" t="s">
        <v>4127</v>
      </c>
      <c r="L1489" s="0" t="s">
        <v>32</v>
      </c>
      <c r="M1489" s="0" t="s">
        <v>61</v>
      </c>
      <c r="N1489" s="0" t="s">
        <v>32</v>
      </c>
      <c r="O1489" s="0" t="s">
        <v>35</v>
      </c>
      <c r="P1489" s="0" t="s">
        <v>4302</v>
      </c>
      <c r="Q1489" s="0" t="s">
        <v>4127</v>
      </c>
      <c r="R1489" s="0" t="s">
        <v>4126</v>
      </c>
      <c r="S1489" s="0" t="s">
        <v>32</v>
      </c>
      <c r="T1489" s="0">
        <f>HYPERLINK("https://ec-qa-storage.kldlms.com/ItemVariation/08DD146C-53D0-48DA-868C-A3233202CB8C/9CBB6C5F-0409-4535-A831-4F91DB1355E6.jpg","Variant Image")</f>
      </c>
      <c r="U1489" s="0">
        <f>HYPERLINK("https://ec-qa-storage.kldlms.com/Item/08DD146C-53D0-48DA-868C-A3233202CB8C/9957E038-F2F6-4414-B16E-1B916EA4C5BF.jpg","Thumbnail Image")</f>
      </c>
      <c r="V1489" s="0">
        <f>HYPERLINK("https://ec-qa-storage.kldlms.com/ItemGallery/08DD146C-53D0-48DA-868C-A3233202CB8C/AAD39B46-3965-484D-9B98-6951C274C57D.jpeg","Gallery Image ")</f>
      </c>
      <c r="W1489" s="0" t="s">
        <v>22</v>
      </c>
    </row>
    <row r="1490">
      <c r="A1490" s="0" t="s">
        <v>4130</v>
      </c>
      <c r="B1490" s="0" t="s">
        <v>4130</v>
      </c>
      <c r="C1490" s="0" t="s">
        <v>4131</v>
      </c>
      <c r="D1490" s="0" t="s">
        <v>27</v>
      </c>
      <c r="E1490" s="0" t="s">
        <v>4074</v>
      </c>
      <c r="F1490" s="0" t="s">
        <v>3137</v>
      </c>
      <c r="G1490" s="0" t="s">
        <v>4130</v>
      </c>
      <c r="H1490" s="0" t="s">
        <v>4130</v>
      </c>
      <c r="I1490" s="0" t="s">
        <v>5184</v>
      </c>
      <c r="J1490" s="0" t="s">
        <v>5184</v>
      </c>
      <c r="K1490" s="0" t="s">
        <v>4132</v>
      </c>
      <c r="L1490" s="0" t="s">
        <v>32</v>
      </c>
      <c r="M1490" s="0" t="s">
        <v>61</v>
      </c>
      <c r="N1490" s="0" t="s">
        <v>32</v>
      </c>
      <c r="O1490" s="0" t="s">
        <v>35</v>
      </c>
      <c r="P1490" s="0" t="s">
        <v>527</v>
      </c>
      <c r="Q1490" s="0" t="s">
        <v>4132</v>
      </c>
      <c r="R1490" s="0" t="s">
        <v>4131</v>
      </c>
      <c r="S1490" s="0" t="s">
        <v>32</v>
      </c>
      <c r="T1490" s="0">
        <f>HYPERLINK("https://ec-qa-storage.kldlms.com/ItemVariation/08DD146C-53FE-440F-8E3C-7619746A79A4/AAC91704-D268-4378-8F91-D173314DD8F2.jpg","Variant Image")</f>
      </c>
      <c r="U1490" s="0">
        <f>HYPERLINK("https://ec-qa-storage.kldlms.com/Item/08DD146C-53FE-440F-8E3C-7619746A79A4/43CD6733-B00B-4ECA-A650-1D49F54F9FA4.jpg","Thumbnail Image")</f>
      </c>
      <c r="V1490" s="0">
        <f>HYPERLINK("https://ec-qa-storage.kldlms.com/ItemGallery/08DD146C-53FE-440F-8E3C-7619746A79A4/E9997DDE-0BD2-4BE9-A7F8-1CDD7B45C580.jpg","Gallery Image ")</f>
      </c>
      <c r="W1490" s="0" t="s">
        <v>22</v>
      </c>
    </row>
    <row r="1491">
      <c r="A1491" s="0" t="s">
        <v>4135</v>
      </c>
      <c r="B1491" s="0" t="s">
        <v>4135</v>
      </c>
      <c r="C1491" s="0" t="s">
        <v>4136</v>
      </c>
      <c r="D1491" s="0" t="s">
        <v>27</v>
      </c>
      <c r="E1491" s="0" t="s">
        <v>4074</v>
      </c>
      <c r="F1491" s="0" t="s">
        <v>3137</v>
      </c>
      <c r="G1491" s="0" t="s">
        <v>4135</v>
      </c>
      <c r="H1491" s="0" t="s">
        <v>4135</v>
      </c>
      <c r="I1491" s="0" t="s">
        <v>5185</v>
      </c>
      <c r="J1491" s="0" t="s">
        <v>5185</v>
      </c>
      <c r="K1491" s="0" t="s">
        <v>4137</v>
      </c>
      <c r="L1491" s="0" t="s">
        <v>32</v>
      </c>
      <c r="M1491" s="0" t="s">
        <v>61</v>
      </c>
      <c r="N1491" s="0" t="s">
        <v>32</v>
      </c>
      <c r="O1491" s="0" t="s">
        <v>35</v>
      </c>
      <c r="P1491" s="0" t="s">
        <v>121</v>
      </c>
      <c r="Q1491" s="0" t="s">
        <v>4137</v>
      </c>
      <c r="R1491" s="0" t="s">
        <v>4136</v>
      </c>
      <c r="S1491" s="0" t="s">
        <v>32</v>
      </c>
      <c r="T1491" s="0">
        <f>HYPERLINK("https://ec-qa-storage.kldlms.com/ItemVariation/08DD146C-5420-4055-826C-BEBF835CE07E/E9C4218A-8822-461D-858A-793C2921C61C.jpg","Variant Image")</f>
      </c>
      <c r="U1491" s="0">
        <f>HYPERLINK("https://ec-qa-storage.kldlms.com/Item/08DD146C-5420-4055-826C-BEBF835CE07E/FE56950B-0C7C-49EE-9D51-364E4E742DB2.jpg","Thumbnail Image")</f>
      </c>
      <c r="V1491" s="0">
        <f>HYPERLINK("https://ec-qa-storage.kldlms.com/ItemGallery/08DD146C-5420-4055-826C-BEBF835CE07E/2B66E6EC-2601-484F-8E5B-9AEE83FBF11C.webp","Gallery Image ")</f>
      </c>
      <c r="W1491" s="0" t="s">
        <v>22</v>
      </c>
    </row>
    <row r="1492">
      <c r="A1492" s="0" t="s">
        <v>3548</v>
      </c>
      <c r="B1492" s="0" t="s">
        <v>3548</v>
      </c>
      <c r="C1492" s="0" t="s">
        <v>3549</v>
      </c>
      <c r="D1492" s="0" t="s">
        <v>27</v>
      </c>
      <c r="E1492" s="0" t="s">
        <v>3526</v>
      </c>
      <c r="F1492" s="0" t="s">
        <v>3137</v>
      </c>
      <c r="G1492" s="0" t="s">
        <v>3548</v>
      </c>
      <c r="H1492" s="0" t="s">
        <v>3548</v>
      </c>
      <c r="I1492" s="0" t="s">
        <v>5186</v>
      </c>
      <c r="J1492" s="0" t="s">
        <v>5186</v>
      </c>
      <c r="K1492" s="0" t="s">
        <v>1966</v>
      </c>
      <c r="L1492" s="0" t="s">
        <v>32</v>
      </c>
      <c r="M1492" s="0" t="s">
        <v>61</v>
      </c>
      <c r="N1492" s="0" t="s">
        <v>32</v>
      </c>
      <c r="O1492" s="0" t="s">
        <v>35</v>
      </c>
      <c r="P1492" s="0" t="s">
        <v>527</v>
      </c>
      <c r="Q1492" s="0" t="s">
        <v>1966</v>
      </c>
      <c r="R1492" s="0" t="s">
        <v>3549</v>
      </c>
      <c r="S1492" s="0" t="s">
        <v>32</v>
      </c>
      <c r="T1492" s="0">
        <f>HYPERLINK("https://ec-qa-storage.kldlms.com/ItemVariation/08DD146F-DCDA-4936-8556-BDBDB780C144/1505D90A-5851-41CA-9BF2-ADE623FE0D78.jpg","Variant Image")</f>
      </c>
      <c r="U1492" s="0">
        <f>HYPERLINK("https://ec-qa-storage.kldlms.com/Item/08DD146F-DCDA-4936-8556-BDBDB780C144/1B4B08BD-280F-4FEC-A663-A94ADC9D19B5.jpg","Thumbnail Image")</f>
      </c>
      <c r="V1492" s="0">
        <f>HYPERLINK("https://ec-qa-storage.kldlms.com/ItemGallery/08DD146F-DCDA-4936-8556-BDBDB780C144/1D28DF45-3693-4DC4-B439-3987EA20558A.jpg","Gallery Image ")</f>
      </c>
      <c r="W1492" s="0" t="s">
        <v>22</v>
      </c>
    </row>
    <row r="1493">
      <c r="A1493" s="0" t="s">
        <v>4845</v>
      </c>
      <c r="B1493" s="0" t="s">
        <v>4845</v>
      </c>
      <c r="C1493" s="0" t="s">
        <v>4858</v>
      </c>
      <c r="D1493" s="0" t="s">
        <v>27</v>
      </c>
      <c r="E1493" s="0" t="s">
        <v>3136</v>
      </c>
      <c r="F1493" s="0" t="s">
        <v>3137</v>
      </c>
      <c r="G1493" s="0" t="s">
        <v>4845</v>
      </c>
      <c r="H1493" s="0" t="s">
        <v>4845</v>
      </c>
      <c r="I1493" s="0" t="s">
        <v>4859</v>
      </c>
      <c r="J1493" s="0" t="s">
        <v>4859</v>
      </c>
      <c r="K1493" s="0" t="s">
        <v>66</v>
      </c>
      <c r="L1493" s="0" t="s">
        <v>32</v>
      </c>
      <c r="M1493" s="0" t="s">
        <v>61</v>
      </c>
      <c r="N1493" s="0" t="s">
        <v>32</v>
      </c>
      <c r="O1493" s="0" t="s">
        <v>35</v>
      </c>
      <c r="P1493" s="0" t="s">
        <v>527</v>
      </c>
      <c r="Q1493" s="0" t="s">
        <v>66</v>
      </c>
      <c r="R1493" s="0" t="s">
        <v>4858</v>
      </c>
      <c r="S1493" s="0" t="s">
        <v>32</v>
      </c>
      <c r="T1493" s="0">
        <f>HYPERLINK("https://ec-qa-storage.kldlms.com/ItemVariation/08DD1470-1C50-48F2-8C3D-B0B9305D82F5/1FD1686A-720E-4E16-8B4A-13E17762EA5C.jpg","Variant Image")</f>
      </c>
      <c r="U1493" s="0">
        <f>HYPERLINK("https://ec-qa-storage.kldlms.com/Item/08DD1470-1C50-48F2-8C3D-B0B9305D82F5/CBA254EA-D51E-44CA-AF9B-AC47DE25D560.jpg","Thumbnail Image")</f>
      </c>
      <c r="V1493" s="0">
        <f>HYPERLINK("https://ec-qa-storage.kldlms.com/ItemGallery/08DD1470-1C50-48F2-8C3D-B0B9305D82F5/EB97DE8A-B540-4955-B186-9F1F1E9B0A7D.jpg","Gallery Image ")</f>
      </c>
      <c r="W1493" s="0" t="s">
        <v>22</v>
      </c>
    </row>
    <row r="1494">
      <c r="P1494" s="0" t="s">
        <v>1016</v>
      </c>
      <c r="Q1494" s="0" t="s">
        <v>66</v>
      </c>
      <c r="R1494" s="0" t="s">
        <v>4861</v>
      </c>
      <c r="S1494" s="0" t="s">
        <v>32</v>
      </c>
      <c r="T1494" s="0">
        <f>HYPERLINK("https://ec-qa-storage.kldlms.com/ItemVariation/08DD1470-1C50-48F2-8C3D-B0B9305D82F5/BA65D6B2-9B30-4601-9869-15B2178EAF55.jpg","Variant Image")</f>
      </c>
    </row>
    <row r="1495">
      <c r="A1495" s="0" t="s">
        <v>4845</v>
      </c>
      <c r="B1495" s="0" t="s">
        <v>4845</v>
      </c>
      <c r="C1495" s="0" t="s">
        <v>4862</v>
      </c>
      <c r="D1495" s="0" t="s">
        <v>27</v>
      </c>
      <c r="E1495" s="0" t="s">
        <v>3136</v>
      </c>
      <c r="F1495" s="0" t="s">
        <v>3137</v>
      </c>
      <c r="G1495" s="0" t="s">
        <v>4845</v>
      </c>
      <c r="H1495" s="0" t="s">
        <v>4845</v>
      </c>
      <c r="I1495" s="0" t="s">
        <v>4859</v>
      </c>
      <c r="J1495" s="0" t="s">
        <v>4859</v>
      </c>
      <c r="K1495" s="0" t="s">
        <v>1041</v>
      </c>
      <c r="L1495" s="0" t="s">
        <v>32</v>
      </c>
      <c r="M1495" s="0" t="s">
        <v>61</v>
      </c>
      <c r="N1495" s="0" t="s">
        <v>32</v>
      </c>
      <c r="O1495" s="0" t="s">
        <v>35</v>
      </c>
      <c r="P1495" s="0" t="s">
        <v>527</v>
      </c>
      <c r="Q1495" s="0" t="s">
        <v>1041</v>
      </c>
      <c r="R1495" s="0" t="s">
        <v>4862</v>
      </c>
      <c r="S1495" s="0" t="s">
        <v>32</v>
      </c>
      <c r="T1495" s="0">
        <f>HYPERLINK("https://ec-qa-storage.kldlms.com/ItemVariation/08DD1470-1E39-475C-8324-6061D1AB2205/445A8D34-B9E6-431B-AF00-1DFC9A98127A.jpg","Variant Image")</f>
      </c>
      <c r="U1495" s="0">
        <f>HYPERLINK("https://ec-qa-storage.kldlms.com/Item/08DD1470-1E39-475C-8324-6061D1AB2205/F5D32CEB-BEC5-4E57-82B3-88E5DE258ABE.jpg","Thumbnail Image")</f>
      </c>
      <c r="V1495" s="0">
        <f>HYPERLINK("https://ec-qa-storage.kldlms.com/ItemGallery/08DD1470-1E39-475C-8324-6061D1AB2205/7A5FB8F9-1115-456D-993B-75D839A861E4.jpg","Gallery Image ")</f>
      </c>
      <c r="W1495" s="0" t="s">
        <v>22</v>
      </c>
    </row>
    <row r="1496">
      <c r="P1496" s="0" t="s">
        <v>593</v>
      </c>
      <c r="Q1496" s="0" t="s">
        <v>1041</v>
      </c>
      <c r="R1496" s="0" t="s">
        <v>4864</v>
      </c>
      <c r="S1496" s="0" t="s">
        <v>32</v>
      </c>
      <c r="T1496" s="0">
        <f>HYPERLINK("https://ec-qa-storage.kldlms.com/ItemVariation/08DD1470-1E39-475C-8324-6061D1AB2205/E3EE571A-8AED-4A37-BB6C-341FCC81CE9D.jpg","Variant Image")</f>
      </c>
    </row>
    <row r="1497">
      <c r="A1497" s="0" t="s">
        <v>4865</v>
      </c>
      <c r="B1497" s="0" t="s">
        <v>4865</v>
      </c>
      <c r="C1497" s="0" t="s">
        <v>4866</v>
      </c>
      <c r="D1497" s="0" t="s">
        <v>27</v>
      </c>
      <c r="E1497" s="0" t="s">
        <v>3136</v>
      </c>
      <c r="F1497" s="0" t="s">
        <v>3137</v>
      </c>
      <c r="G1497" s="0" t="s">
        <v>4865</v>
      </c>
      <c r="H1497" s="0" t="s">
        <v>4865</v>
      </c>
      <c r="I1497" s="0" t="s">
        <v>4867</v>
      </c>
      <c r="J1497" s="0" t="s">
        <v>4867</v>
      </c>
      <c r="K1497" s="0" t="s">
        <v>4868</v>
      </c>
      <c r="L1497" s="0" t="s">
        <v>32</v>
      </c>
      <c r="M1497" s="0" t="s">
        <v>61</v>
      </c>
      <c r="N1497" s="0" t="s">
        <v>32</v>
      </c>
      <c r="O1497" s="0" t="s">
        <v>35</v>
      </c>
      <c r="P1497" s="0" t="s">
        <v>527</v>
      </c>
      <c r="Q1497" s="0" t="s">
        <v>4868</v>
      </c>
      <c r="R1497" s="0" t="s">
        <v>4866</v>
      </c>
      <c r="S1497" s="0" t="s">
        <v>32</v>
      </c>
      <c r="T1497" s="0">
        <f>HYPERLINK("https://ec-qa-storage.kldlms.com/ItemVariation/08DD1470-1F15-4C04-8B12-A7E0CD9F5C7B/F665C1F7-0087-4B7C-A40B-78CECE7C05C2.jpg","Variant Image")</f>
      </c>
      <c r="U1497" s="0">
        <f>HYPERLINK("https://ec-qa-storage.kldlms.com/Item/08DD1470-1F15-4C04-8B12-A7E0CD9F5C7B/797FEB5F-D7AD-48BF-B32D-EF6EBE807CE4.jpg","Thumbnail Image")</f>
      </c>
      <c r="V1497" s="0">
        <f>HYPERLINK("https://ec-qa-storage.kldlms.com/ItemGallery/08DD1470-1F15-4C04-8B12-A7E0CD9F5C7B/6A6BDACF-D1D1-449C-A14C-328151BB4042.jpg","Gallery Image ")</f>
      </c>
      <c r="W1497" s="0" t="s">
        <v>22</v>
      </c>
    </row>
    <row r="1498">
      <c r="P1498" s="0" t="s">
        <v>593</v>
      </c>
      <c r="Q1498" s="0" t="s">
        <v>4868</v>
      </c>
      <c r="R1498" s="0" t="s">
        <v>4870</v>
      </c>
      <c r="S1498" s="0" t="s">
        <v>32</v>
      </c>
      <c r="T1498" s="0">
        <f>HYPERLINK("https://ec-qa-storage.kldlms.com/ItemVariation/08DD1470-1F15-4C04-8B12-A7E0CD9F5C7B/A6BA8D75-F28B-46FC-9624-184FF0AB1E72.jpg","Variant Image")</f>
      </c>
    </row>
    <row r="1499">
      <c r="A1499" s="0" t="s">
        <v>5187</v>
      </c>
      <c r="B1499" s="0" t="s">
        <v>5187</v>
      </c>
      <c r="C1499" s="0" t="s">
        <v>5188</v>
      </c>
      <c r="D1499" s="0" t="s">
        <v>27</v>
      </c>
      <c r="E1499" s="0" t="s">
        <v>3136</v>
      </c>
      <c r="F1499" s="0" t="s">
        <v>3137</v>
      </c>
      <c r="G1499" s="0" t="s">
        <v>5187</v>
      </c>
      <c r="H1499" s="0" t="s">
        <v>5187</v>
      </c>
      <c r="I1499" s="0" t="s">
        <v>5189</v>
      </c>
      <c r="J1499" s="0" t="s">
        <v>5189</v>
      </c>
      <c r="K1499" s="0" t="s">
        <v>4937</v>
      </c>
      <c r="L1499" s="0" t="s">
        <v>32</v>
      </c>
      <c r="M1499" s="0" t="s">
        <v>61</v>
      </c>
      <c r="N1499" s="0" t="s">
        <v>32</v>
      </c>
      <c r="O1499" s="0" t="s">
        <v>35</v>
      </c>
      <c r="P1499" s="0" t="s">
        <v>1016</v>
      </c>
      <c r="Q1499" s="0" t="s">
        <v>4937</v>
      </c>
      <c r="R1499" s="0" t="s">
        <v>5188</v>
      </c>
      <c r="S1499" s="0" t="s">
        <v>32</v>
      </c>
      <c r="T1499" s="0">
        <f>HYPERLINK("https://ec-qa-storage.kldlms.com/ItemVariation/08DD1470-1FD0-4DD2-8134-BFA4B7D01A4D/54C47310-48EA-44BC-8F91-AF0CFF789FAE.jpg","Variant Image")</f>
      </c>
      <c r="U1499" s="0">
        <f>HYPERLINK("https://ec-qa-storage.kldlms.com/Item/08DD1470-1FD0-4DD2-8134-BFA4B7D01A4D/C49899A9-98A0-433E-AB5B-8AB7FEB83C49.jpg","Thumbnail Image")</f>
      </c>
      <c r="V1499" s="0">
        <f>HYPERLINK("https://ec-qa-storage.kldlms.com/ItemGallery/08DD1470-1FD0-4DD2-8134-BFA4B7D01A4D/1BF4F00E-B6C0-4384-8509-063FDD581A8D.jpg","Gallery Image ")</f>
      </c>
      <c r="W1499" s="0" t="s">
        <v>22</v>
      </c>
    </row>
    <row r="1500">
      <c r="P1500" s="0" t="s">
        <v>527</v>
      </c>
      <c r="Q1500" s="0" t="s">
        <v>4937</v>
      </c>
      <c r="R1500" s="0" t="s">
        <v>5190</v>
      </c>
      <c r="S1500" s="0" t="s">
        <v>32</v>
      </c>
      <c r="T1500" s="0">
        <f>HYPERLINK("https://ec-qa-storage.kldlms.com/ItemVariation/08DD1470-1FD0-4DD2-8134-BFA4B7D01A4D/870DD6CE-7AEA-4146-A198-6195F6CF7AA1.jpg","Variant Image")</f>
      </c>
    </row>
    <row r="1501">
      <c r="A1501" s="0" t="s">
        <v>3331</v>
      </c>
      <c r="B1501" s="0" t="s">
        <v>3331</v>
      </c>
      <c r="C1501" s="0" t="s">
        <v>3336</v>
      </c>
      <c r="D1501" s="0" t="s">
        <v>27</v>
      </c>
      <c r="E1501" s="0" t="s">
        <v>3155</v>
      </c>
      <c r="F1501" s="0" t="s">
        <v>3137</v>
      </c>
      <c r="G1501" s="0" t="s">
        <v>3331</v>
      </c>
      <c r="H1501" s="0" t="s">
        <v>3331</v>
      </c>
      <c r="I1501" s="0" t="s">
        <v>3337</v>
      </c>
      <c r="J1501" s="0" t="s">
        <v>3337</v>
      </c>
      <c r="K1501" s="0" t="s">
        <v>3338</v>
      </c>
      <c r="L1501" s="0" t="s">
        <v>32</v>
      </c>
      <c r="M1501" s="0" t="s">
        <v>61</v>
      </c>
      <c r="N1501" s="0" t="s">
        <v>32</v>
      </c>
      <c r="O1501" s="0" t="s">
        <v>35</v>
      </c>
      <c r="P1501" s="0" t="s">
        <v>527</v>
      </c>
      <c r="Q1501" s="0" t="s">
        <v>3338</v>
      </c>
      <c r="R1501" s="0" t="s">
        <v>3336</v>
      </c>
      <c r="S1501" s="0" t="s">
        <v>32</v>
      </c>
      <c r="T1501" s="0">
        <f>HYPERLINK("https://ec-qa-storage.kldlms.com/ItemVariation/08DD1470-1FF7-49C8-807C-B6659C634AD0/1C570072-DAD5-49FA-A5E3-7C8FC9B7E9EB.jpg","Variant Image")</f>
      </c>
      <c r="U1501" s="0">
        <f>HYPERLINK("https://ec-qa-storage.kldlms.com/Item/08DD1470-1FF7-49C8-807C-B6659C634AD0/51890B84-AC7B-4EAD-88BF-1614F82E32AC.jpg","Thumbnail Image")</f>
      </c>
      <c r="V1501" s="0">
        <f>HYPERLINK("https://ec-qa-storage.kldlms.com/ItemGallery/08DD1470-1FF7-49C8-807C-B6659C634AD0/B5761243-0127-420F-A9AE-F1C06CCEBC8C.jpg","Gallery Image ")</f>
      </c>
      <c r="W1501" s="0" t="s">
        <v>22</v>
      </c>
    </row>
    <row r="1502">
      <c r="P1502" s="0" t="s">
        <v>593</v>
      </c>
      <c r="Q1502" s="0" t="s">
        <v>3338</v>
      </c>
      <c r="R1502" s="0" t="s">
        <v>3332</v>
      </c>
      <c r="S1502" s="0" t="s">
        <v>32</v>
      </c>
      <c r="T1502" s="0">
        <f>HYPERLINK("https://ec-qa-storage.kldlms.com/ItemVariation/08DD1470-1FF7-49C8-807C-B6659C634AD0/482860E8-FA64-4950-B2A3-401843B8078E.jpg","Variant Image")</f>
      </c>
    </row>
    <row r="1503">
      <c r="A1503" s="0" t="s">
        <v>3340</v>
      </c>
      <c r="B1503" s="0" t="s">
        <v>3340</v>
      </c>
      <c r="C1503" s="0" t="s">
        <v>3341</v>
      </c>
      <c r="D1503" s="0" t="s">
        <v>27</v>
      </c>
      <c r="E1503" s="0" t="s">
        <v>3155</v>
      </c>
      <c r="F1503" s="0" t="s">
        <v>3137</v>
      </c>
      <c r="G1503" s="0" t="s">
        <v>3340</v>
      </c>
      <c r="H1503" s="0" t="s">
        <v>3340</v>
      </c>
      <c r="I1503" s="0" t="s">
        <v>3342</v>
      </c>
      <c r="J1503" s="0" t="s">
        <v>3342</v>
      </c>
      <c r="K1503" s="0" t="s">
        <v>2387</v>
      </c>
      <c r="L1503" s="0" t="s">
        <v>32</v>
      </c>
      <c r="M1503" s="0" t="s">
        <v>61</v>
      </c>
      <c r="N1503" s="0" t="s">
        <v>32</v>
      </c>
      <c r="O1503" s="0" t="s">
        <v>35</v>
      </c>
      <c r="P1503" s="0" t="s">
        <v>527</v>
      </c>
      <c r="Q1503" s="0" t="s">
        <v>2387</v>
      </c>
      <c r="R1503" s="0" t="s">
        <v>3341</v>
      </c>
      <c r="S1503" s="0" t="s">
        <v>32</v>
      </c>
      <c r="T1503" s="0">
        <f>HYPERLINK("https://ec-qa-storage.kldlms.com/ItemVariation/08DD1470-20F3-41A8-8C82-8AE0E4C91997/2A87FED8-13A5-4763-9411-4612B6760891.jpg","Variant Image")</f>
      </c>
      <c r="U1503" s="0">
        <f>HYPERLINK("https://ec-qa-storage.kldlms.com/Item/08DD1470-20F3-41A8-8C82-8AE0E4C91997/59709D50-00F2-4D0D-BC26-C31324B039AE.jpg","Thumbnail Image")</f>
      </c>
      <c r="V1503" s="0">
        <f>HYPERLINK("https://ec-qa-storage.kldlms.com/ItemGallery/08DD1470-20F3-41A8-8C82-8AE0E4C91997/9928A418-4A2F-42D1-8C6E-8C41EDB167EB.jpg","Gallery Image ")</f>
      </c>
      <c r="W1503" s="0" t="s">
        <v>22</v>
      </c>
    </row>
    <row r="1504">
      <c r="A1504" s="0" t="s">
        <v>4831</v>
      </c>
      <c r="B1504" s="0" t="s">
        <v>4831</v>
      </c>
      <c r="C1504" s="0" t="s">
        <v>4871</v>
      </c>
      <c r="D1504" s="0" t="s">
        <v>27</v>
      </c>
      <c r="E1504" s="0" t="s">
        <v>3136</v>
      </c>
      <c r="F1504" s="0" t="s">
        <v>3137</v>
      </c>
      <c r="G1504" s="0" t="s">
        <v>4831</v>
      </c>
      <c r="H1504" s="0" t="s">
        <v>4831</v>
      </c>
      <c r="I1504" s="0" t="s">
        <v>4872</v>
      </c>
      <c r="J1504" s="0" t="s">
        <v>4872</v>
      </c>
      <c r="K1504" s="0" t="s">
        <v>706</v>
      </c>
      <c r="L1504" s="0" t="s">
        <v>32</v>
      </c>
      <c r="M1504" s="0" t="s">
        <v>61</v>
      </c>
      <c r="N1504" s="0" t="s">
        <v>32</v>
      </c>
      <c r="O1504" s="0" t="s">
        <v>35</v>
      </c>
      <c r="P1504" s="0" t="s">
        <v>527</v>
      </c>
      <c r="Q1504" s="0" t="s">
        <v>706</v>
      </c>
      <c r="R1504" s="0" t="s">
        <v>4871</v>
      </c>
      <c r="S1504" s="0" t="s">
        <v>32</v>
      </c>
      <c r="T1504" s="0">
        <f>HYPERLINK("https://ec-qa-storage.kldlms.com/ItemVariation/08DD1470-2149-4E68-8460-10928F64929B/D1E729E4-7EC5-48A1-8773-9ACDBA00283A.jpg","Variant Image")</f>
      </c>
      <c r="U1504" s="0">
        <f>HYPERLINK("https://ec-qa-storage.kldlms.com/Item/08DD1470-2149-4E68-8460-10928F64929B/C08696A4-1A4A-4F81-9636-07FED6231A12.jpg","Thumbnail Image")</f>
      </c>
      <c r="V1504" s="0">
        <f>HYPERLINK("https://ec-qa-storage.kldlms.com/ItemGallery/08DD1470-2149-4E68-8460-10928F64929B/FB6E72AC-F3A5-4935-ABD5-7463A77298CE.jpg","Gallery Image ")</f>
      </c>
      <c r="W1504" s="0" t="s">
        <v>22</v>
      </c>
    </row>
    <row r="1505">
      <c r="A1505" s="0" t="s">
        <v>4732</v>
      </c>
      <c r="B1505" s="0" t="s">
        <v>4732</v>
      </c>
      <c r="C1505" s="0" t="s">
        <v>4874</v>
      </c>
      <c r="D1505" s="0" t="s">
        <v>27</v>
      </c>
      <c r="E1505" s="0" t="s">
        <v>3136</v>
      </c>
      <c r="F1505" s="0" t="s">
        <v>3137</v>
      </c>
      <c r="G1505" s="0" t="s">
        <v>4732</v>
      </c>
      <c r="H1505" s="0" t="s">
        <v>4732</v>
      </c>
      <c r="I1505" s="0" t="s">
        <v>4875</v>
      </c>
      <c r="J1505" s="0" t="s">
        <v>4875</v>
      </c>
      <c r="K1505" s="0" t="s">
        <v>4876</v>
      </c>
      <c r="L1505" s="0" t="s">
        <v>32</v>
      </c>
      <c r="M1505" s="0" t="s">
        <v>61</v>
      </c>
      <c r="N1505" s="0" t="s">
        <v>32</v>
      </c>
      <c r="O1505" s="0" t="s">
        <v>35</v>
      </c>
      <c r="P1505" s="0" t="s">
        <v>527</v>
      </c>
      <c r="Q1505" s="0" t="s">
        <v>4876</v>
      </c>
      <c r="R1505" s="0" t="s">
        <v>4874</v>
      </c>
      <c r="S1505" s="0" t="s">
        <v>32</v>
      </c>
      <c r="T1505" s="0">
        <f>HYPERLINK("https://ec-qa-storage.kldlms.com/ItemVariation/08DD1470-21D4-4145-896A-11FEF57CAE14/275701AF-E68E-4F27-94BF-89DAAF9CF550.jpg","Variant Image")</f>
      </c>
      <c r="U1505" s="0">
        <f>HYPERLINK("https://ec-qa-storage.kldlms.com/Item/08DD1470-21D4-4145-896A-11FEF57CAE14/DE9E115A-FEC3-413A-9D49-A23D7C802309.jpg","Thumbnail Image")</f>
      </c>
      <c r="V1505" s="0">
        <f>HYPERLINK("https://ec-qa-storage.kldlms.com/ItemGallery/08DD1470-21D4-4145-896A-11FEF57CAE14/F82E6569-DE6C-48C8-ABE6-5B6209B554B8.jpg","Gallery Image ")</f>
      </c>
      <c r="W1505" s="0" t="s">
        <v>22</v>
      </c>
    </row>
    <row r="1506">
      <c r="A1506" s="0" t="s">
        <v>3343</v>
      </c>
      <c r="B1506" s="0" t="s">
        <v>3343</v>
      </c>
      <c r="C1506" s="0" t="s">
        <v>3344</v>
      </c>
      <c r="D1506" s="0" t="s">
        <v>27</v>
      </c>
      <c r="E1506" s="0" t="s">
        <v>3155</v>
      </c>
      <c r="F1506" s="0" t="s">
        <v>3137</v>
      </c>
      <c r="G1506" s="0" t="s">
        <v>3343</v>
      </c>
      <c r="H1506" s="0" t="s">
        <v>3343</v>
      </c>
      <c r="I1506" s="0" t="s">
        <v>3345</v>
      </c>
      <c r="J1506" s="0" t="s">
        <v>3345</v>
      </c>
      <c r="K1506" s="0" t="s">
        <v>3346</v>
      </c>
      <c r="L1506" s="0" t="s">
        <v>32</v>
      </c>
      <c r="M1506" s="0" t="s">
        <v>61</v>
      </c>
      <c r="N1506" s="0" t="s">
        <v>32</v>
      </c>
      <c r="O1506" s="0" t="s">
        <v>35</v>
      </c>
      <c r="P1506" s="0" t="s">
        <v>593</v>
      </c>
      <c r="Q1506" s="0" t="s">
        <v>3346</v>
      </c>
      <c r="R1506" s="0" t="s">
        <v>3344</v>
      </c>
      <c r="S1506" s="0" t="s">
        <v>32</v>
      </c>
      <c r="T1506" s="0">
        <f>HYPERLINK("https://ec-qa-storage.kldlms.com/ItemVariation/08DD1470-2244-4B19-8059-F633EC731EBE/EA0AFCB0-8DFE-49DB-B220-AFD6A53ACCAB.jpg","Variant Image")</f>
      </c>
      <c r="U1506" s="0">
        <f>HYPERLINK("https://ec-qa-storage.kldlms.com/Item/08DD1470-2244-4B19-8059-F633EC731EBE/FCFE933D-D414-4973-A807-EA50998AE5B6.jpg","Thumbnail Image")</f>
      </c>
      <c r="V1506" s="0">
        <f>HYPERLINK("https://ec-qa-storage.kldlms.com/ItemGallery/08DD1470-2244-4B19-8059-F633EC731EBE/1E4ECA51-6CAF-4C14-8DEE-FA3BCD623FD2.jpg","Gallery Image ")</f>
      </c>
      <c r="W1506" s="0" t="s">
        <v>22</v>
      </c>
    </row>
    <row r="1507">
      <c r="A1507" s="0" t="s">
        <v>4878</v>
      </c>
      <c r="B1507" s="0" t="s">
        <v>4878</v>
      </c>
      <c r="C1507" s="0" t="s">
        <v>4879</v>
      </c>
      <c r="D1507" s="0" t="s">
        <v>27</v>
      </c>
      <c r="E1507" s="0" t="s">
        <v>3136</v>
      </c>
      <c r="F1507" s="0" t="s">
        <v>3137</v>
      </c>
      <c r="G1507" s="0" t="s">
        <v>4878</v>
      </c>
      <c r="H1507" s="0" t="s">
        <v>4878</v>
      </c>
      <c r="I1507" s="0" t="s">
        <v>4880</v>
      </c>
      <c r="J1507" s="0" t="s">
        <v>4880</v>
      </c>
      <c r="K1507" s="0" t="s">
        <v>1113</v>
      </c>
      <c r="L1507" s="0" t="s">
        <v>32</v>
      </c>
      <c r="M1507" s="0" t="s">
        <v>61</v>
      </c>
      <c r="N1507" s="0" t="s">
        <v>32</v>
      </c>
      <c r="O1507" s="0" t="s">
        <v>35</v>
      </c>
      <c r="P1507" s="0" t="s">
        <v>593</v>
      </c>
      <c r="Q1507" s="0" t="s">
        <v>1113</v>
      </c>
      <c r="R1507" s="0" t="s">
        <v>4879</v>
      </c>
      <c r="S1507" s="0" t="s">
        <v>32</v>
      </c>
      <c r="T1507" s="0">
        <f>HYPERLINK("https://ec-qa-storage.kldlms.com/ItemVariation/08DD1470-22BB-4619-8234-BFC1E4E6B2A0/93836C06-A154-4BA7-BB79-3EAE154466BD.jpg","Variant Image")</f>
      </c>
      <c r="U1507" s="0">
        <f>HYPERLINK("https://ec-qa-storage.kldlms.com/Item/08DD1470-22BB-4619-8234-BFC1E4E6B2A0/C161451E-077F-4A77-BB07-CF5357195B41.jpg","Thumbnail Image")</f>
      </c>
      <c r="V1507" s="0">
        <f>HYPERLINK("https://ec-qa-storage.kldlms.com/ItemGallery/08DD1470-22BB-4619-8234-BFC1E4E6B2A0/73351DD9-1A0C-4EE2-A5D9-B10A4E6C536B.jpg","Gallery Image ")</f>
      </c>
      <c r="W1507" s="0" t="s">
        <v>22</v>
      </c>
    </row>
    <row r="1508">
      <c r="P1508" s="0" t="s">
        <v>527</v>
      </c>
      <c r="Q1508" s="0" t="s">
        <v>1113</v>
      </c>
      <c r="R1508" s="0" t="s">
        <v>4882</v>
      </c>
      <c r="S1508" s="0" t="s">
        <v>32</v>
      </c>
      <c r="T1508" s="0">
        <f>HYPERLINK("https://ec-qa-storage.kldlms.com/ItemVariation/08DD1470-22BB-4619-8234-BFC1E4E6B2A0/C15CE5FF-10E8-478D-944B-69EB2C6C6C35.jpeg","Variant Image")</f>
      </c>
    </row>
    <row r="1509">
      <c r="A1509" s="0" t="s">
        <v>3396</v>
      </c>
      <c r="B1509" s="0" t="s">
        <v>3396</v>
      </c>
      <c r="C1509" s="0" t="s">
        <v>3397</v>
      </c>
      <c r="D1509" s="0" t="s">
        <v>27</v>
      </c>
      <c r="E1509" s="0" t="s">
        <v>3155</v>
      </c>
      <c r="F1509" s="0" t="s">
        <v>3137</v>
      </c>
      <c r="G1509" s="0" t="s">
        <v>3396</v>
      </c>
      <c r="H1509" s="0" t="s">
        <v>3396</v>
      </c>
      <c r="I1509" s="0" t="s">
        <v>3398</v>
      </c>
      <c r="J1509" s="0" t="s">
        <v>3398</v>
      </c>
      <c r="K1509" s="0" t="s">
        <v>3399</v>
      </c>
      <c r="L1509" s="0" t="s">
        <v>32</v>
      </c>
      <c r="M1509" s="0" t="s">
        <v>61</v>
      </c>
      <c r="N1509" s="0" t="s">
        <v>32</v>
      </c>
      <c r="O1509" s="0" t="s">
        <v>35</v>
      </c>
      <c r="P1509" s="0" t="s">
        <v>527</v>
      </c>
      <c r="Q1509" s="0" t="s">
        <v>3399</v>
      </c>
      <c r="R1509" s="0" t="s">
        <v>3397</v>
      </c>
      <c r="S1509" s="0" t="s">
        <v>32</v>
      </c>
      <c r="T1509" s="0">
        <f>HYPERLINK("https://ec-qa-storage.kldlms.com/ItemVariation/08DD1470-246C-4C69-8590-C6EBF5AB6284/851294BA-764D-445A-9107-7805E3ABC10B.jpg","Variant Image")</f>
      </c>
      <c r="U1509" s="0">
        <f>HYPERLINK("https://ec-qa-storage.kldlms.com/Item/08DD1470-246C-4C69-8590-C6EBF5AB6284/F924000A-BF77-489A-B453-B0097086292A.jpg","Thumbnail Image")</f>
      </c>
      <c r="V1509" s="0">
        <f>HYPERLINK("https://ec-qa-storage.kldlms.com/ItemGallery/08DD1470-246C-4C69-8590-C6EBF5AB6284/9DCDAC6D-9949-40C2-AF14-2E333563E7B0.jpg","Gallery Image ")</f>
      </c>
      <c r="W1509" s="0" t="s">
        <v>22</v>
      </c>
    </row>
    <row r="1510">
      <c r="P1510" s="0" t="s">
        <v>1016</v>
      </c>
      <c r="Q1510" s="0" t="s">
        <v>3399</v>
      </c>
      <c r="R1510" s="0" t="s">
        <v>3386</v>
      </c>
      <c r="S1510" s="0" t="s">
        <v>32</v>
      </c>
      <c r="T1510" s="0">
        <f>HYPERLINK("https://ec-qa-storage.kldlms.com/ItemVariation/08DD1470-246C-4C69-8590-C6EBF5AB6284/D36DC55A-7FF7-40AD-8B57-87A1301C019F.jpg","Variant Image")</f>
      </c>
    </row>
    <row r="1511">
      <c r="P1511" s="0" t="s">
        <v>3401</v>
      </c>
      <c r="Q1511" s="0" t="s">
        <v>3399</v>
      </c>
      <c r="R1511" s="0" t="s">
        <v>3389</v>
      </c>
      <c r="S1511" s="0" t="s">
        <v>32</v>
      </c>
      <c r="T1511" s="0">
        <f>HYPERLINK("https://ec-qa-storage.kldlms.com/ItemVariation/08DD1470-246C-4C69-8590-C6EBF5AB6284/985D172C-52E3-49DB-BCA4-3D10D25B73F9.jpg","Variant Image")</f>
      </c>
    </row>
    <row r="1512">
      <c r="A1512" s="0" t="s">
        <v>3524</v>
      </c>
      <c r="B1512" s="0" t="s">
        <v>3524</v>
      </c>
      <c r="C1512" s="0" t="s">
        <v>3525</v>
      </c>
      <c r="D1512" s="0" t="s">
        <v>27</v>
      </c>
      <c r="E1512" s="0" t="s">
        <v>3526</v>
      </c>
      <c r="F1512" s="0" t="s">
        <v>3137</v>
      </c>
      <c r="G1512" s="0" t="s">
        <v>3524</v>
      </c>
      <c r="H1512" s="0" t="s">
        <v>3524</v>
      </c>
      <c r="I1512" s="0" t="s">
        <v>3527</v>
      </c>
      <c r="J1512" s="0" t="s">
        <v>3527</v>
      </c>
      <c r="K1512" s="0" t="s">
        <v>3528</v>
      </c>
      <c r="L1512" s="0" t="s">
        <v>32</v>
      </c>
      <c r="M1512" s="0" t="s">
        <v>61</v>
      </c>
      <c r="N1512" s="0" t="s">
        <v>32</v>
      </c>
      <c r="O1512" s="0" t="s">
        <v>35</v>
      </c>
      <c r="P1512" s="0" t="s">
        <v>527</v>
      </c>
      <c r="Q1512" s="0" t="s">
        <v>3528</v>
      </c>
      <c r="R1512" s="0" t="s">
        <v>3525</v>
      </c>
      <c r="S1512" s="0" t="s">
        <v>32</v>
      </c>
      <c r="T1512" s="0">
        <f>HYPERLINK("https://ec-qa-storage.kldlms.com/ItemVariation/08DD1470-276A-40CB-8FFB-EEEF1CA0F344/4D44D5F9-6EBA-47EC-80C1-2F8D55B961C9.jpg","Variant Image")</f>
      </c>
      <c r="U1512" s="0">
        <f>HYPERLINK("https://ec-qa-storage.kldlms.com/Item/08DD1470-276A-40CB-8FFB-EEEF1CA0F344/FB1B1FD5-9943-4567-AACC-787170341F55.jpg","Thumbnail Image")</f>
      </c>
      <c r="V1512" s="0">
        <f>HYPERLINK("https://ec-qa-storage.kldlms.com/ItemGallery/08DD1470-276A-40CB-8FFB-EEEF1CA0F344/6671C1BE-205F-4DC0-88EF-06863CF81AA6.jpg","Gallery Image ")</f>
      </c>
      <c r="W1512" s="0" t="s">
        <v>22</v>
      </c>
    </row>
    <row r="1513">
      <c r="A1513" s="0" t="s">
        <v>4223</v>
      </c>
      <c r="B1513" s="0" t="s">
        <v>4223</v>
      </c>
      <c r="C1513" s="0" t="s">
        <v>4224</v>
      </c>
      <c r="D1513" s="0" t="s">
        <v>27</v>
      </c>
      <c r="E1513" s="0" t="s">
        <v>3526</v>
      </c>
      <c r="F1513" s="0" t="s">
        <v>3137</v>
      </c>
      <c r="G1513" s="0" t="s">
        <v>4223</v>
      </c>
      <c r="H1513" s="0" t="s">
        <v>4223</v>
      </c>
      <c r="I1513" s="0" t="s">
        <v>4225</v>
      </c>
      <c r="J1513" s="0" t="s">
        <v>4225</v>
      </c>
      <c r="K1513" s="0" t="s">
        <v>3994</v>
      </c>
      <c r="L1513" s="0" t="s">
        <v>32</v>
      </c>
      <c r="M1513" s="0" t="s">
        <v>61</v>
      </c>
      <c r="N1513" s="0" t="s">
        <v>32</v>
      </c>
      <c r="O1513" s="0" t="s">
        <v>35</v>
      </c>
      <c r="P1513" s="0" t="s">
        <v>527</v>
      </c>
      <c r="Q1513" s="0" t="s">
        <v>3994</v>
      </c>
      <c r="R1513" s="0" t="s">
        <v>4224</v>
      </c>
      <c r="S1513" s="0" t="s">
        <v>32</v>
      </c>
      <c r="T1513" s="0">
        <f>HYPERLINK("https://ec-qa-storage.kldlms.com/ItemVariation/08DD1470-288D-44F1-8790-1C542D262A62/4CF8EA93-4044-4491-8CF4-83E786FE55C3.jpg","Variant Image")</f>
      </c>
      <c r="U1513" s="0">
        <f>HYPERLINK("https://ec-qa-storage.kldlms.com/Item/08DD1470-288D-44F1-8790-1C542D262A62/282BCB1C-A154-4775-8683-04EB9E246CC5.jpg","Thumbnail Image")</f>
      </c>
      <c r="V1513" s="0">
        <f>HYPERLINK("https://ec-qa-storage.kldlms.com/ItemGallery/08DD1470-288D-44F1-8790-1C542D262A62/D5DB6E68-1B41-462A-BA92-0D06587438B0.jpg","Gallery Image ")</f>
      </c>
      <c r="W1513" s="0" t="s">
        <v>22</v>
      </c>
    </row>
    <row r="1514">
      <c r="A1514" s="0" t="s">
        <v>3530</v>
      </c>
      <c r="B1514" s="0" t="s">
        <v>3530</v>
      </c>
      <c r="C1514" s="0" t="s">
        <v>3531</v>
      </c>
      <c r="D1514" s="0" t="s">
        <v>27</v>
      </c>
      <c r="E1514" s="0" t="s">
        <v>3526</v>
      </c>
      <c r="F1514" s="0" t="s">
        <v>3137</v>
      </c>
      <c r="G1514" s="0" t="s">
        <v>3530</v>
      </c>
      <c r="H1514" s="0" t="s">
        <v>3530</v>
      </c>
      <c r="I1514" s="0" t="s">
        <v>3532</v>
      </c>
      <c r="J1514" s="0" t="s">
        <v>3532</v>
      </c>
      <c r="K1514" s="0" t="s">
        <v>658</v>
      </c>
      <c r="L1514" s="0" t="s">
        <v>32</v>
      </c>
      <c r="M1514" s="0" t="s">
        <v>61</v>
      </c>
      <c r="N1514" s="0" t="s">
        <v>32</v>
      </c>
      <c r="O1514" s="0" t="s">
        <v>35</v>
      </c>
      <c r="P1514" s="0" t="s">
        <v>527</v>
      </c>
      <c r="Q1514" s="0" t="s">
        <v>658</v>
      </c>
      <c r="R1514" s="0" t="s">
        <v>3531</v>
      </c>
      <c r="S1514" s="0" t="s">
        <v>32</v>
      </c>
      <c r="T1514" s="0">
        <f>HYPERLINK("https://ec-qa-storage.kldlms.com/ItemVariation/08DD1470-28C2-4845-866C-D1C48D327B27/7D087C65-A9F0-4950-A156-5E840866D6A9.jpg","Variant Image")</f>
      </c>
      <c r="U1514" s="0">
        <f>HYPERLINK("https://ec-qa-storage.kldlms.com/Item/08DD1470-28C2-4845-866C-D1C48D327B27/EE821541-DA12-4D63-8AC2-8E6409B345AD.jpg","Thumbnail Image")</f>
      </c>
      <c r="V1514" s="0">
        <f>HYPERLINK("https://ec-qa-storage.kldlms.com/ItemGallery/08DD1470-28C2-4845-866C-D1C48D327B27/993CF430-5940-4E13-8655-21E15003FBDA.jpg","Gallery Image ")</f>
      </c>
      <c r="W1514" s="0" t="s">
        <v>22</v>
      </c>
    </row>
    <row r="1515">
      <c r="A1515" s="0" t="s">
        <v>3987</v>
      </c>
      <c r="B1515" s="0" t="s">
        <v>3987</v>
      </c>
      <c r="C1515" s="0" t="s">
        <v>3988</v>
      </c>
      <c r="D1515" s="0" t="s">
        <v>27</v>
      </c>
      <c r="E1515" s="0" t="s">
        <v>3526</v>
      </c>
      <c r="F1515" s="0" t="s">
        <v>3137</v>
      </c>
      <c r="G1515" s="0" t="s">
        <v>3987</v>
      </c>
      <c r="H1515" s="0" t="s">
        <v>3987</v>
      </c>
      <c r="I1515" s="0" t="s">
        <v>3989</v>
      </c>
      <c r="J1515" s="0" t="s">
        <v>3989</v>
      </c>
      <c r="K1515" s="0" t="s">
        <v>32</v>
      </c>
      <c r="L1515" s="0" t="s">
        <v>32</v>
      </c>
      <c r="M1515" s="0" t="s">
        <v>61</v>
      </c>
      <c r="N1515" s="0" t="s">
        <v>32</v>
      </c>
      <c r="O1515" s="0" t="s">
        <v>35</v>
      </c>
      <c r="P1515" s="0" t="s">
        <v>527</v>
      </c>
      <c r="Q1515" s="0" t="s">
        <v>32</v>
      </c>
      <c r="R1515" s="0" t="s">
        <v>3988</v>
      </c>
      <c r="S1515" s="0" t="s">
        <v>32</v>
      </c>
      <c r="T1515" s="0">
        <f>HYPERLINK("https://ec-qa-storage.kldlms.com/ItemVariation/08DD1470-29AA-4300-8775-803169E45059/F382494D-335C-46F5-9CAF-0FAEDDEB7F88.jpg","Variant Image")</f>
      </c>
      <c r="U1515" s="0">
        <f>HYPERLINK("https://ec-qa-storage.kldlms.com/Item/08DD1470-29AA-4300-8775-803169E45059/1F5731A7-E6A1-4D0C-B793-FEB7B62F43A6.jpg","Thumbnail Image")</f>
      </c>
      <c r="V1515" s="0">
        <f>HYPERLINK("https://ec-qa-storage.kldlms.com/ItemGallery/08DD1470-29AA-4300-8775-803169E45059/604EE61B-2CDC-4846-8512-194477703EA2.jpg","Gallery Image ")</f>
      </c>
      <c r="W1515" s="0" t="s">
        <v>22</v>
      </c>
    </row>
    <row r="1516">
      <c r="A1516" s="0" t="s">
        <v>3991</v>
      </c>
      <c r="B1516" s="0" t="s">
        <v>3991</v>
      </c>
      <c r="C1516" s="0" t="s">
        <v>3992</v>
      </c>
      <c r="D1516" s="0" t="s">
        <v>27</v>
      </c>
      <c r="E1516" s="0" t="s">
        <v>3526</v>
      </c>
      <c r="F1516" s="0" t="s">
        <v>3137</v>
      </c>
      <c r="G1516" s="0" t="s">
        <v>3991</v>
      </c>
      <c r="H1516" s="0" t="s">
        <v>3991</v>
      </c>
      <c r="I1516" s="0" t="s">
        <v>3993</v>
      </c>
      <c r="J1516" s="0" t="s">
        <v>3993</v>
      </c>
      <c r="K1516" s="0" t="s">
        <v>3994</v>
      </c>
      <c r="L1516" s="0" t="s">
        <v>32</v>
      </c>
      <c r="M1516" s="0" t="s">
        <v>61</v>
      </c>
      <c r="N1516" s="0" t="s">
        <v>32</v>
      </c>
      <c r="O1516" s="0" t="s">
        <v>35</v>
      </c>
      <c r="P1516" s="0" t="s">
        <v>527</v>
      </c>
      <c r="Q1516" s="0" t="s">
        <v>3994</v>
      </c>
      <c r="R1516" s="0" t="s">
        <v>3992</v>
      </c>
      <c r="S1516" s="0" t="s">
        <v>32</v>
      </c>
      <c r="T1516" s="0">
        <f>HYPERLINK("https://ec-qa-storage.kldlms.com/ItemVariation/08DD1470-2B88-4AE4-8B17-2988E21BE46E/81F961B5-ADC4-4832-9A7F-975DCAD3D326.jpg","Variant Image")</f>
      </c>
      <c r="U1516" s="0">
        <f>HYPERLINK("https://ec-qa-storage.kldlms.com/Item/08DD1470-2B88-4AE4-8B17-2988E21BE46E/13B5C651-5617-4A54-A8C0-19074740EBB6.jpg","Thumbnail Image")</f>
      </c>
      <c r="V1516" s="0">
        <f>HYPERLINK("https://ec-qa-storage.kldlms.com/ItemGallery/08DD1470-2B88-4AE4-8B17-2988E21BE46E/01F6D1A8-D640-4DD6-8BCE-19A30A0E0D7B.jpg","Gallery Image ")</f>
      </c>
      <c r="W1516" s="0" t="s">
        <v>22</v>
      </c>
    </row>
    <row r="1517">
      <c r="A1517" s="0" t="s">
        <v>4263</v>
      </c>
      <c r="B1517" s="0" t="s">
        <v>4263</v>
      </c>
      <c r="C1517" s="0" t="s">
        <v>4264</v>
      </c>
      <c r="D1517" s="0" t="s">
        <v>27</v>
      </c>
      <c r="E1517" s="0" t="s">
        <v>3526</v>
      </c>
      <c r="F1517" s="0" t="s">
        <v>3137</v>
      </c>
      <c r="G1517" s="0" t="s">
        <v>4263</v>
      </c>
      <c r="H1517" s="0" t="s">
        <v>4263</v>
      </c>
      <c r="I1517" s="0" t="s">
        <v>4265</v>
      </c>
      <c r="J1517" s="0" t="s">
        <v>4265</v>
      </c>
      <c r="K1517" s="0" t="s">
        <v>4266</v>
      </c>
      <c r="L1517" s="0" t="s">
        <v>32</v>
      </c>
      <c r="M1517" s="0" t="s">
        <v>61</v>
      </c>
      <c r="N1517" s="0" t="s">
        <v>32</v>
      </c>
      <c r="O1517" s="0" t="s">
        <v>35</v>
      </c>
      <c r="P1517" s="0" t="s">
        <v>527</v>
      </c>
      <c r="Q1517" s="0" t="s">
        <v>4266</v>
      </c>
      <c r="R1517" s="0" t="s">
        <v>4264</v>
      </c>
      <c r="S1517" s="0" t="s">
        <v>32</v>
      </c>
      <c r="T1517" s="0">
        <f>HYPERLINK("https://ec-qa-storage.kldlms.com/ItemVariation/08DD1470-2BFF-42FD-8508-187E054A1F50/2A2307D0-8322-4ACD-A159-235FD8EA3065.png","Variant Image")</f>
      </c>
      <c r="U1517" s="0">
        <f>HYPERLINK("https://ec-qa-storage.kldlms.com/Item/08DD1470-2BFF-42FD-8508-187E054A1F50/56B94476-BB9F-44D6-AADA-7A82E502072E.png","Thumbnail Image")</f>
      </c>
      <c r="V1517" s="0">
        <f>HYPERLINK("https://ec-qa-storage.kldlms.com/ItemGallery/08DD1470-2BFF-42FD-8508-187E054A1F50/00DB8184-A11A-4F84-95C2-27449CB0D2C3.jpg","Gallery Image ")</f>
      </c>
      <c r="W1517" s="0" t="s">
        <v>22</v>
      </c>
    </row>
    <row r="1518">
      <c r="P1518" s="0" t="s">
        <v>1016</v>
      </c>
      <c r="Q1518" s="0" t="s">
        <v>4266</v>
      </c>
      <c r="R1518" s="0" t="s">
        <v>4268</v>
      </c>
      <c r="S1518" s="0" t="s">
        <v>32</v>
      </c>
      <c r="T1518" s="0">
        <f>HYPERLINK("https://ec-qa-storage.kldlms.com/ItemVariation/08DD1470-2BFF-42FD-8508-187E054A1F50/98190DBD-7EE8-40C1-B1D7-B6D86B2A137D.jpg","Variant Image")</f>
      </c>
    </row>
    <row r="1519">
      <c r="A1519" s="0" t="s">
        <v>4294</v>
      </c>
      <c r="B1519" s="0" t="s">
        <v>4294</v>
      </c>
      <c r="C1519" s="0" t="s">
        <v>4295</v>
      </c>
      <c r="D1519" s="0" t="s">
        <v>27</v>
      </c>
      <c r="E1519" s="0" t="s">
        <v>3526</v>
      </c>
      <c r="F1519" s="0" t="s">
        <v>3137</v>
      </c>
      <c r="G1519" s="0" t="s">
        <v>4294</v>
      </c>
      <c r="H1519" s="0" t="s">
        <v>4294</v>
      </c>
      <c r="I1519" s="0" t="s">
        <v>4296</v>
      </c>
      <c r="J1519" s="0" t="s">
        <v>4296</v>
      </c>
      <c r="K1519" s="0" t="s">
        <v>4297</v>
      </c>
      <c r="L1519" s="0" t="s">
        <v>32</v>
      </c>
      <c r="M1519" s="0" t="s">
        <v>61</v>
      </c>
      <c r="N1519" s="0" t="s">
        <v>32</v>
      </c>
      <c r="O1519" s="0" t="s">
        <v>35</v>
      </c>
      <c r="P1519" s="0" t="s">
        <v>527</v>
      </c>
      <c r="Q1519" s="0" t="s">
        <v>4297</v>
      </c>
      <c r="R1519" s="0" t="s">
        <v>4295</v>
      </c>
      <c r="S1519" s="0" t="s">
        <v>32</v>
      </c>
      <c r="T1519" s="0">
        <f>HYPERLINK("https://ec-qa-storage.kldlms.com/ItemVariation/08DD1470-2D60-4044-83A6-39F2FA440626/002947A5-455B-4786-AF1A-E69522CFDE27.jpg","Variant Image")</f>
      </c>
      <c r="U1519" s="0">
        <f>HYPERLINK("https://ec-qa-storage.kldlms.com/Item/08DD1470-2D60-4044-83A6-39F2FA440626/260084B5-0827-44E5-84A5-2D86A32C0343.jpg","Thumbnail Image")</f>
      </c>
      <c r="V1519" s="0">
        <f>HYPERLINK("https://ec-qa-storage.kldlms.com/ItemGallery/08DD1470-2D60-4044-83A6-39F2FA440626/416EE6CD-1DFC-467F-870F-8AF5BE5AF44F.jpg","Gallery Image ")</f>
      </c>
      <c r="W1519" s="0" t="s">
        <v>22</v>
      </c>
    </row>
    <row r="1520">
      <c r="A1520" s="0" t="s">
        <v>3999</v>
      </c>
      <c r="B1520" s="0" t="s">
        <v>3999</v>
      </c>
      <c r="C1520" s="0" t="s">
        <v>4000</v>
      </c>
      <c r="D1520" s="0" t="s">
        <v>27</v>
      </c>
      <c r="E1520" s="0" t="s">
        <v>3526</v>
      </c>
      <c r="F1520" s="0" t="s">
        <v>3137</v>
      </c>
      <c r="G1520" s="0" t="s">
        <v>3999</v>
      </c>
      <c r="H1520" s="0" t="s">
        <v>3999</v>
      </c>
      <c r="I1520" s="0" t="s">
        <v>4001</v>
      </c>
      <c r="J1520" s="0" t="s">
        <v>4001</v>
      </c>
      <c r="K1520" s="0" t="s">
        <v>4002</v>
      </c>
      <c r="L1520" s="0" t="s">
        <v>32</v>
      </c>
      <c r="M1520" s="0" t="s">
        <v>61</v>
      </c>
      <c r="N1520" s="0" t="s">
        <v>32</v>
      </c>
      <c r="O1520" s="0" t="s">
        <v>35</v>
      </c>
      <c r="P1520" s="0" t="s">
        <v>527</v>
      </c>
      <c r="Q1520" s="0" t="s">
        <v>4002</v>
      </c>
      <c r="R1520" s="0" t="s">
        <v>4000</v>
      </c>
      <c r="S1520" s="0" t="s">
        <v>32</v>
      </c>
      <c r="T1520" s="0">
        <f>HYPERLINK("https://ec-qa-storage.kldlms.com/ItemVariation/08DD1470-2DD4-46DC-8360-3DE02BDD61C4/0CED7881-6D2A-4212-BADF-3B08421401D4.png","Variant Image")</f>
      </c>
      <c r="U1520" s="0">
        <f>HYPERLINK("https://ec-qa-storage.kldlms.com/Item/08DD1470-2DD4-46DC-8360-3DE02BDD61C4/E5A88475-D55A-4467-BA49-D48D80A6F342.png","Thumbnail Image")</f>
      </c>
      <c r="V1520" s="0">
        <f>HYPERLINK("https://ec-qa-storage.kldlms.com/ItemGallery/08DD1470-2DD4-46DC-8360-3DE02BDD61C4/3DAFE7EF-699D-44C3-8E40-A907A05DC379.png","Gallery Image ")</f>
      </c>
      <c r="W1520" s="0" t="s">
        <v>22</v>
      </c>
    </row>
    <row r="1521">
      <c r="A1521" s="0" t="s">
        <v>4331</v>
      </c>
      <c r="B1521" s="0" t="s">
        <v>4331</v>
      </c>
      <c r="C1521" s="0" t="s">
        <v>4332</v>
      </c>
      <c r="D1521" s="0" t="s">
        <v>27</v>
      </c>
      <c r="E1521" s="0" t="s">
        <v>3526</v>
      </c>
      <c r="F1521" s="0" t="s">
        <v>3137</v>
      </c>
      <c r="G1521" s="0" t="s">
        <v>4331</v>
      </c>
      <c r="H1521" s="0" t="s">
        <v>4331</v>
      </c>
      <c r="I1521" s="0" t="s">
        <v>5191</v>
      </c>
      <c r="J1521" s="0" t="s">
        <v>5191</v>
      </c>
      <c r="K1521" s="0" t="s">
        <v>301</v>
      </c>
      <c r="L1521" s="0" t="s">
        <v>32</v>
      </c>
      <c r="M1521" s="0" t="s">
        <v>61</v>
      </c>
      <c r="N1521" s="0" t="s">
        <v>32</v>
      </c>
      <c r="O1521" s="0" t="s">
        <v>35</v>
      </c>
      <c r="P1521" s="0" t="s">
        <v>527</v>
      </c>
      <c r="Q1521" s="0" t="s">
        <v>301</v>
      </c>
      <c r="R1521" s="0" t="s">
        <v>4332</v>
      </c>
      <c r="S1521" s="0" t="s">
        <v>32</v>
      </c>
      <c r="T1521" s="0">
        <f>HYPERLINK("https://ec-qa-storage.kldlms.com/ItemVariation/08DD1470-2DE3-4A53-89A1-C153F79AF9F5/94697C45-8A98-458C-B0BF-EE2D031CAE51.jpg","Variant Image")</f>
      </c>
      <c r="U1521" s="0">
        <f>HYPERLINK("https://ec-qa-storage.kldlms.com/Item/08DD1470-2DE3-4A53-89A1-C153F79AF9F5/73E57D1B-8836-4157-BB5C-F60B1D23C51B.jpg","Thumbnail Image")</f>
      </c>
      <c r="V1521" s="0">
        <f>HYPERLINK("https://ec-qa-storage.kldlms.com/ItemGallery/08DD1470-2DE3-4A53-89A1-C153F79AF9F5/CD48885F-6DE5-4035-B106-AAEE8FF58115.jpg","Gallery Image ")</f>
      </c>
      <c r="W1521" s="0" t="s">
        <v>22</v>
      </c>
    </row>
    <row r="1522">
      <c r="A1522" s="0" t="s">
        <v>4745</v>
      </c>
      <c r="B1522" s="0" t="s">
        <v>4745</v>
      </c>
      <c r="C1522" s="0" t="s">
        <v>4746</v>
      </c>
      <c r="D1522" s="0" t="s">
        <v>27</v>
      </c>
      <c r="E1522" s="0" t="s">
        <v>3136</v>
      </c>
      <c r="F1522" s="0" t="s">
        <v>3137</v>
      </c>
      <c r="G1522" s="0" t="s">
        <v>4745</v>
      </c>
      <c r="H1522" s="0" t="s">
        <v>4745</v>
      </c>
      <c r="I1522" s="0" t="s">
        <v>5192</v>
      </c>
      <c r="J1522" s="0" t="s">
        <v>5192</v>
      </c>
      <c r="K1522" s="0" t="s">
        <v>2198</v>
      </c>
      <c r="L1522" s="0" t="s">
        <v>32</v>
      </c>
      <c r="M1522" s="0" t="s">
        <v>61</v>
      </c>
      <c r="N1522" s="0" t="s">
        <v>32</v>
      </c>
      <c r="O1522" s="0" t="s">
        <v>35</v>
      </c>
      <c r="P1522" s="0" t="s">
        <v>593</v>
      </c>
      <c r="Q1522" s="0" t="s">
        <v>2198</v>
      </c>
      <c r="R1522" s="0" t="s">
        <v>4746</v>
      </c>
      <c r="S1522" s="0" t="s">
        <v>32</v>
      </c>
      <c r="T1522" s="0">
        <f>HYPERLINK("https://ec-qa-storage.kldlms.com/ItemVariation/08DD1470-2DFA-40E5-8FE9-9A47B3E454BD/9F5F3A0A-2F38-47B9-9960-2C77008FE5BA.jpg","Variant Image")</f>
      </c>
      <c r="U1522" s="0">
        <f>HYPERLINK("https://ec-qa-storage.kldlms.com/Item/08DD1470-2DFA-40E5-8FE9-9A47B3E454BD/C24FF6F9-F5D2-4A23-92C5-A0AB0D57AE8B.jpg","Thumbnail Image")</f>
      </c>
      <c r="V1522" s="0">
        <f>HYPERLINK("https://ec-qa-storage.kldlms.com/ItemGallery/08DD1470-2DFA-40E5-8FE9-9A47B3E454BD/4100E749-65CA-44D1-995E-B1E2CD424837.jpg","Gallery Image ")</f>
      </c>
      <c r="W1522" s="0" t="s">
        <v>22</v>
      </c>
    </row>
    <row r="1523">
      <c r="P1523" s="0" t="s">
        <v>527</v>
      </c>
      <c r="Q1523" s="0" t="s">
        <v>2198</v>
      </c>
      <c r="R1523" s="0" t="s">
        <v>4749</v>
      </c>
      <c r="S1523" s="0" t="s">
        <v>32</v>
      </c>
      <c r="T1523" s="0">
        <f>HYPERLINK("https://ec-qa-storage.kldlms.com/ItemVariation/08DD1470-2DFA-40E5-8FE9-9A47B3E454BD/F4F82509-93E9-4416-BAAA-B9781967477D.jpg","Variant Image")</f>
      </c>
    </row>
    <row r="1524">
      <c r="A1524" s="0" t="s">
        <v>5193</v>
      </c>
      <c r="B1524" s="0" t="s">
        <v>5193</v>
      </c>
      <c r="C1524" s="0" t="s">
        <v>5194</v>
      </c>
      <c r="D1524" s="0" t="s">
        <v>27</v>
      </c>
      <c r="E1524" s="0" t="s">
        <v>3155</v>
      </c>
      <c r="F1524" s="0" t="s">
        <v>3137</v>
      </c>
      <c r="G1524" s="0" t="s">
        <v>5193</v>
      </c>
      <c r="H1524" s="0" t="s">
        <v>5193</v>
      </c>
      <c r="I1524" s="0" t="s">
        <v>5195</v>
      </c>
      <c r="J1524" s="0" t="s">
        <v>5195</v>
      </c>
      <c r="K1524" s="0" t="s">
        <v>5196</v>
      </c>
      <c r="L1524" s="0" t="s">
        <v>32</v>
      </c>
      <c r="M1524" s="0" t="s">
        <v>61</v>
      </c>
      <c r="N1524" s="0" t="s">
        <v>32</v>
      </c>
      <c r="O1524" s="0" t="s">
        <v>35</v>
      </c>
      <c r="P1524" s="0" t="s">
        <v>527</v>
      </c>
      <c r="Q1524" s="0" t="s">
        <v>5196</v>
      </c>
      <c r="R1524" s="0" t="s">
        <v>5194</v>
      </c>
      <c r="S1524" s="0" t="s">
        <v>32</v>
      </c>
      <c r="T1524" s="0">
        <f>HYPERLINK("https://ec-qa-storage.kldlms.com/ItemVariation/08DD1475-934E-4FF4-8380-673AB26C1E03/AAFBE91C-8EDB-4AFE-B16C-C6ECF1B693C4.jpg","Variant Image")</f>
      </c>
      <c r="U1524" s="0">
        <f>HYPERLINK("https://ec-qa-storage.kldlms.com/Item/08DD1475-934E-4FF4-8380-673AB26C1E03/381CC0D9-14C8-4E63-B828-7EEC648EB1C3.jpg","Thumbnail Image")</f>
      </c>
      <c r="V1524" s="0">
        <f>HYPERLINK("https://ec-qa-storage.kldlms.com/ItemGallery/08DD1475-934E-4FF4-8380-673AB26C1E03/DCAC6107-028F-4553-B54B-0A1DAC81D6CB.jpg","Gallery Image ")</f>
      </c>
      <c r="W1524" s="0" t="s">
        <v>22</v>
      </c>
    </row>
    <row r="1525">
      <c r="A1525" s="0" t="s">
        <v>3261</v>
      </c>
      <c r="B1525" s="0" t="s">
        <v>3261</v>
      </c>
      <c r="C1525" s="0" t="s">
        <v>5197</v>
      </c>
      <c r="D1525" s="0" t="s">
        <v>27</v>
      </c>
      <c r="E1525" s="0" t="s">
        <v>3155</v>
      </c>
      <c r="F1525" s="0" t="s">
        <v>3137</v>
      </c>
      <c r="G1525" s="0" t="s">
        <v>3261</v>
      </c>
      <c r="H1525" s="0" t="s">
        <v>3261</v>
      </c>
      <c r="I1525" s="0" t="s">
        <v>5198</v>
      </c>
      <c r="J1525" s="0" t="s">
        <v>5198</v>
      </c>
      <c r="K1525" s="0" t="s">
        <v>2370</v>
      </c>
      <c r="L1525" s="0" t="s">
        <v>32</v>
      </c>
      <c r="M1525" s="0" t="s">
        <v>61</v>
      </c>
      <c r="N1525" s="0" t="s">
        <v>32</v>
      </c>
      <c r="O1525" s="0" t="s">
        <v>35</v>
      </c>
      <c r="P1525" s="0" t="s">
        <v>527</v>
      </c>
      <c r="Q1525" s="0" t="s">
        <v>2370</v>
      </c>
      <c r="R1525" s="0" t="s">
        <v>5197</v>
      </c>
      <c r="S1525" s="0" t="s">
        <v>32</v>
      </c>
      <c r="T1525" s="0">
        <f>HYPERLINK("https://ec-qa-storage.kldlms.com/ItemVariation/08DD1475-9377-44FA-8646-0EF47047A585/4B9C1491-A939-4AF6-A4E8-5CF1F605C53B.webp","Variant Image")</f>
      </c>
      <c r="U1525" s="0">
        <f>HYPERLINK("https://ec-qa-storage.kldlms.com/Item/08DD1475-9377-44FA-8646-0EF47047A585/EBA2727E-4502-4EB8-99DD-2D504692BC60.webp","Thumbnail Image")</f>
      </c>
      <c r="V1525" s="0">
        <f>HYPERLINK("https://ec-qa-storage.kldlms.com/ItemGallery/08DD1475-9377-44FA-8646-0EF47047A585/535D1C13-DCCE-4639-9AC1-BF7A6DCEC4C3.jpg","Gallery Image ")</f>
      </c>
      <c r="W1525" s="0" t="s">
        <v>22</v>
      </c>
    </row>
    <row r="1526">
      <c r="P1526" s="0" t="s">
        <v>593</v>
      </c>
      <c r="Q1526" s="0" t="s">
        <v>2370</v>
      </c>
      <c r="R1526" s="0" t="s">
        <v>3262</v>
      </c>
      <c r="S1526" s="0" t="s">
        <v>32</v>
      </c>
      <c r="T1526" s="0">
        <f>HYPERLINK("https://ec-qa-storage.kldlms.com/ItemVariation/08DD1475-9377-44FA-8646-0EF47047A585/B9C656BF-1042-4E3C-9286-0997332034CF.jpg","Variant Image")</f>
      </c>
    </row>
    <row r="1527">
      <c r="A1527" s="0" t="s">
        <v>4801</v>
      </c>
      <c r="B1527" s="0" t="s">
        <v>4801</v>
      </c>
      <c r="C1527" s="0" t="s">
        <v>5199</v>
      </c>
      <c r="D1527" s="0" t="s">
        <v>27</v>
      </c>
      <c r="E1527" s="0" t="s">
        <v>3136</v>
      </c>
      <c r="F1527" s="0" t="s">
        <v>3137</v>
      </c>
      <c r="G1527" s="0" t="s">
        <v>4801</v>
      </c>
      <c r="H1527" s="0" t="s">
        <v>4801</v>
      </c>
      <c r="I1527" s="0" t="s">
        <v>5200</v>
      </c>
      <c r="J1527" s="0" t="s">
        <v>5200</v>
      </c>
      <c r="K1527" s="0" t="s">
        <v>5201</v>
      </c>
      <c r="L1527" s="0" t="s">
        <v>32</v>
      </c>
      <c r="M1527" s="0" t="s">
        <v>61</v>
      </c>
      <c r="N1527" s="0" t="s">
        <v>32</v>
      </c>
      <c r="O1527" s="0" t="s">
        <v>35</v>
      </c>
      <c r="P1527" s="0" t="s">
        <v>527</v>
      </c>
      <c r="Q1527" s="0" t="s">
        <v>5201</v>
      </c>
      <c r="R1527" s="0" t="s">
        <v>5199</v>
      </c>
      <c r="S1527" s="0" t="s">
        <v>32</v>
      </c>
      <c r="T1527" s="0">
        <f>HYPERLINK("https://ec-qa-storage.kldlms.com/ItemVariation/08DD1475-9507-4E69-8E97-DF913409876D/0F99F6D3-678F-4EF3-AAA2-E0719AA90DA8.webp","Variant Image")</f>
      </c>
      <c r="U1527" s="0">
        <f>HYPERLINK("https://ec-qa-storage.kldlms.com/Item/08DD1475-9507-4E69-8E97-DF913409876D/893823B7-6E2C-482A-A777-A3A9AED17E81.webp","Thumbnail Image")</f>
      </c>
      <c r="V1527" s="0">
        <f>HYPERLINK("https://ec-qa-storage.kldlms.com/ItemGallery/08DD1475-9507-4E69-8E97-DF913409876D/4C82626F-7DD1-4CF7-B55D-70A13689E09A.jpg","Gallery Image ")</f>
      </c>
      <c r="W1527" s="0" t="s">
        <v>22</v>
      </c>
    </row>
    <row r="1528">
      <c r="A1528" s="0" t="s">
        <v>5202</v>
      </c>
      <c r="B1528" s="0" t="s">
        <v>5202</v>
      </c>
      <c r="C1528" s="0" t="s">
        <v>5203</v>
      </c>
      <c r="D1528" s="0" t="s">
        <v>27</v>
      </c>
      <c r="E1528" s="0" t="s">
        <v>3136</v>
      </c>
      <c r="F1528" s="0" t="s">
        <v>3137</v>
      </c>
      <c r="G1528" s="0" t="s">
        <v>5202</v>
      </c>
      <c r="H1528" s="0" t="s">
        <v>5202</v>
      </c>
      <c r="I1528" s="0" t="s">
        <v>5204</v>
      </c>
      <c r="J1528" s="0" t="s">
        <v>5204</v>
      </c>
      <c r="K1528" s="0" t="s">
        <v>779</v>
      </c>
      <c r="L1528" s="0" t="s">
        <v>32</v>
      </c>
      <c r="M1528" s="0" t="s">
        <v>61</v>
      </c>
      <c r="N1528" s="0" t="s">
        <v>32</v>
      </c>
      <c r="O1528" s="0" t="s">
        <v>35</v>
      </c>
      <c r="P1528" s="0" t="s">
        <v>527</v>
      </c>
      <c r="Q1528" s="0" t="s">
        <v>779</v>
      </c>
      <c r="R1528" s="0" t="s">
        <v>5203</v>
      </c>
      <c r="S1528" s="0" t="s">
        <v>32</v>
      </c>
      <c r="T1528" s="0">
        <f>HYPERLINK("https://ec-qa-storage.kldlms.com/ItemVariation/08DD1475-95FB-4251-84ED-904E93B9ED44/1EC0FD96-2CB4-4D5A-9EDB-B03C8EF9ED71.jpg","Variant Image")</f>
      </c>
      <c r="U1528" s="0">
        <f>HYPERLINK("https://ec-qa-storage.kldlms.com/Item/08DD1475-95FB-4251-84ED-904E93B9ED44/7E938171-6195-468D-8FCF-7A8F5ADCE49F.jpg","Thumbnail Image")</f>
      </c>
      <c r="V1528" s="0">
        <f>HYPERLINK("https://ec-qa-storage.kldlms.com/ItemGallery/08DD1475-95FB-4251-84ED-904E93B9ED44/001B8D4D-E33B-4E65-BF64-D5C7774EC2B7.jpg","Gallery Image ")</f>
      </c>
      <c r="W1528" s="0" t="s">
        <v>22</v>
      </c>
    </row>
    <row r="1529">
      <c r="A1529" s="0" t="s">
        <v>5205</v>
      </c>
      <c r="B1529" s="0" t="s">
        <v>5206</v>
      </c>
      <c r="C1529" s="0" t="s">
        <v>5207</v>
      </c>
      <c r="D1529" s="0" t="s">
        <v>5208</v>
      </c>
      <c r="E1529" s="0" t="s">
        <v>5208</v>
      </c>
      <c r="F1529" s="0" t="s">
        <v>5209</v>
      </c>
      <c r="G1529" s="0" t="s">
        <v>5208</v>
      </c>
      <c r="H1529" s="0" t="s">
        <v>5208</v>
      </c>
      <c r="I1529" s="0" t="s">
        <v>5210</v>
      </c>
      <c r="J1529" s="0" t="s">
        <v>5210</v>
      </c>
      <c r="K1529" s="0" t="s">
        <v>35</v>
      </c>
      <c r="L1529" s="0" t="s">
        <v>32</v>
      </c>
      <c r="M1529" s="0" t="s">
        <v>61</v>
      </c>
      <c r="N1529" s="0" t="s">
        <v>35</v>
      </c>
      <c r="O1529" s="0" t="s">
        <v>349</v>
      </c>
      <c r="P1529" s="0" t="s">
        <v>5182</v>
      </c>
      <c r="Q1529" s="0" t="s">
        <v>32</v>
      </c>
      <c r="R1529" s="0" t="s">
        <v>5207</v>
      </c>
      <c r="S1529" s="0" t="s">
        <v>35</v>
      </c>
      <c r="T1529" s="0">
        <f>HYPERLINK("https://ec-qa-storage.kldlms.com/ItemVariation/08DD1536-B806-4C3F-8CD6-261D7C0F3D1F/34287C78-0575-48A8-8EA4-7F068374A1C2.webp","Variant Image")</f>
      </c>
      <c r="U1529" s="0">
        <f>HYPERLINK("https://ec-qa-storage.kldlms.com/Item/08DD1536-B806-4C3F-8CD6-261D7C0F3D1F/46210674-D532-4C54-B75B-7B98C963CA3A.png","Thumbnail Image")</f>
      </c>
      <c r="V1529" s="0">
        <f>HYPERLINK("https://ec-qa-storage.kldlms.com/ItemGallery/08DD1536-B806-4C3F-8CD6-261D7C0F3D1F/B5EED12F-07AB-4EC5-8056-E5ABCA5C2514.png","Gallery Image ")</f>
      </c>
      <c r="W1529" s="0" t="s">
        <v>5211</v>
      </c>
      <c r="X1529" s="0" t="s">
        <v>5212</v>
      </c>
    </row>
    <row r="1530">
      <c r="P1530" s="0" t="s">
        <v>4302</v>
      </c>
      <c r="Q1530" s="0" t="s">
        <v>32</v>
      </c>
      <c r="R1530" s="0" t="s">
        <v>5207</v>
      </c>
      <c r="S1530" s="0" t="s">
        <v>35</v>
      </c>
      <c r="T1530" s="0">
        <f>HYPERLINK("https://ec-qa-storage.kldlms.com/ItemVariation/08DD1536-B806-4C3F-8CD6-261D7C0F3D1F/C47A0F9C-5376-49DA-A070-BB02AE954BB7.webp","Variant Image")</f>
      </c>
      <c r="X1530" s="0" t="s">
        <v>5213</v>
      </c>
    </row>
    <row r="1531">
      <c r="A1531" s="0" t="s">
        <v>5214</v>
      </c>
      <c r="B1531" s="0" t="s">
        <v>5214</v>
      </c>
      <c r="C1531" s="0" t="s">
        <v>5215</v>
      </c>
      <c r="D1531" s="0" t="s">
        <v>5216</v>
      </c>
      <c r="E1531" s="0" t="s">
        <v>3108</v>
      </c>
      <c r="F1531" s="0" t="s">
        <v>29</v>
      </c>
      <c r="G1531" s="0" t="s">
        <v>5214</v>
      </c>
      <c r="H1531" s="0" t="s">
        <v>5214</v>
      </c>
      <c r="I1531" s="0" t="s">
        <v>5217</v>
      </c>
      <c r="J1531" s="0" t="s">
        <v>5217</v>
      </c>
      <c r="K1531" s="0" t="s">
        <v>5218</v>
      </c>
      <c r="L1531" s="0" t="s">
        <v>5219</v>
      </c>
      <c r="M1531" s="0" t="s">
        <v>61</v>
      </c>
      <c r="N1531" s="0" t="s">
        <v>3948</v>
      </c>
      <c r="O1531" s="0" t="s">
        <v>110</v>
      </c>
      <c r="P1531" s="0" t="s">
        <v>327</v>
      </c>
      <c r="Q1531" s="0" t="s">
        <v>5220</v>
      </c>
      <c r="R1531" s="0" t="s">
        <v>5215</v>
      </c>
      <c r="S1531" s="0" t="s">
        <v>772</v>
      </c>
      <c r="T1531" s="0">
        <f>HYPERLINK("https://ec-qa-storage.kldlms.com/ItemVariation/08DD2026-E2F5-47A7-8F8D-5A3B4016EC29/0F1C19C7-B0D2-4567-B47A-89180AF95449.png","Variant Image")</f>
      </c>
      <c r="U1531" s="0">
        <f>HYPERLINK("https://ec-qa-storage.kldlms.com/Item/08DD2026-E2F5-47A7-8F8D-5A3B4016EC29/705B38C8-6488-45CA-8CDE-84C395775ED0.png","Thumbnail Image")</f>
      </c>
      <c r="V1531" s="0">
        <f>HYPERLINK("https://ec-qa-storage.kldlms.com/ItemGallery/08DD2026-E2F5-47A7-8F8D-5A3B4016EC29/0F04A386-4D95-4350-B29C-09A8F5F2B79E.png","Gallery Image ")</f>
      </c>
      <c r="W1531" s="0" t="s">
        <v>5211</v>
      </c>
      <c r="X1531" s="0" t="s">
        <v>5221</v>
      </c>
    </row>
    <row r="1532">
      <c r="A1532" s="0" t="s">
        <v>5222</v>
      </c>
      <c r="B1532" s="0" t="s">
        <v>5222</v>
      </c>
      <c r="C1532" s="0" t="s">
        <v>5223</v>
      </c>
      <c r="D1532" s="0" t="s">
        <v>5216</v>
      </c>
      <c r="E1532" s="0" t="s">
        <v>3108</v>
      </c>
      <c r="F1532" s="0" t="s">
        <v>29</v>
      </c>
      <c r="G1532" s="0" t="s">
        <v>5222</v>
      </c>
      <c r="H1532" s="0" t="s">
        <v>5222</v>
      </c>
      <c r="I1532" s="0" t="s">
        <v>5224</v>
      </c>
      <c r="J1532" s="0" t="s">
        <v>5224</v>
      </c>
      <c r="K1532" s="0" t="s">
        <v>5218</v>
      </c>
      <c r="L1532" s="0" t="s">
        <v>5219</v>
      </c>
      <c r="M1532" s="0" t="s">
        <v>61</v>
      </c>
      <c r="N1532" s="0" t="s">
        <v>3948</v>
      </c>
      <c r="O1532" s="0" t="s">
        <v>110</v>
      </c>
      <c r="P1532" s="0" t="s">
        <v>134</v>
      </c>
      <c r="Q1532" s="0" t="s">
        <v>5218</v>
      </c>
      <c r="R1532" s="0" t="s">
        <v>5223</v>
      </c>
      <c r="S1532" s="0" t="s">
        <v>3948</v>
      </c>
      <c r="T1532" s="0">
        <f>HYPERLINK("https://ec-qa-storage.kldlms.com/ItemVariation/08DD2026-E32B-4042-8F5C-D0D6D60792B4/CFA3AD99-8CD2-49DD-9E12-9C4A704E411A.webp","Variant Image")</f>
      </c>
      <c r="U1532" s="0">
        <f>HYPERLINK("https://ec-qa-storage.kldlms.com/Item/08DD2026-E32B-4042-8F5C-D0D6D60792B4/00CCB67D-4CEE-47EC-9579-6AB805A6C0F2.png","Thumbnail Image")</f>
      </c>
      <c r="V1532" s="0">
        <f>HYPERLINK("https://ec-qa-storage.kldlms.com/ItemGallery/08DD2026-E32B-4042-8F5C-D0D6D60792B4/88AA10CF-3699-48C5-9B26-0F512AEAEAA1.png","Gallery Image ")</f>
      </c>
      <c r="W1532" s="0" t="s">
        <v>5211</v>
      </c>
      <c r="X1532" s="0" t="s">
        <v>5221</v>
      </c>
    </row>
    <row r="1533">
      <c r="A1533" s="0" t="s">
        <v>5225</v>
      </c>
      <c r="B1533" s="0" t="s">
        <v>5225</v>
      </c>
      <c r="C1533" s="0" t="s">
        <v>5226</v>
      </c>
      <c r="D1533" s="0" t="s">
        <v>1009</v>
      </c>
      <c r="E1533" s="0" t="s">
        <v>1297</v>
      </c>
      <c r="F1533" s="0" t="s">
        <v>1298</v>
      </c>
      <c r="G1533" s="0" t="s">
        <v>5225</v>
      </c>
      <c r="H1533" s="0" t="s">
        <v>5225</v>
      </c>
      <c r="I1533" s="0" t="s">
        <v>5227</v>
      </c>
      <c r="J1533" s="0" t="s">
        <v>5227</v>
      </c>
      <c r="K1533" s="0" t="s">
        <v>35</v>
      </c>
      <c r="L1533" s="0" t="s">
        <v>5228</v>
      </c>
      <c r="M1533" s="0" t="s">
        <v>61</v>
      </c>
      <c r="N1533" s="0" t="s">
        <v>35</v>
      </c>
      <c r="O1533" s="0" t="s">
        <v>3658</v>
      </c>
      <c r="P1533" s="0" t="s">
        <v>35</v>
      </c>
      <c r="Q1533" s="0" t="s">
        <v>35</v>
      </c>
      <c r="R1533" s="0" t="s">
        <v>5226</v>
      </c>
      <c r="S1533" s="0" t="s">
        <v>35</v>
      </c>
      <c r="T1533" s="0">
        <f>HYPERLINK("https://ec-qa-storage.kldlms.com/ItemVariation/00000000-0000-0000-0000-000000000000/BEB65CED-AC79-4FE0-A20C-838EAEB8D377.png","Variant Image")</f>
      </c>
      <c r="U1533" s="0">
        <f>HYPERLINK("https://ec-qa-storage.kldlms.com/Item/08DD259C-5157-4DEA-862A-3FE38A3D6EC1/B9A367C7-B55D-4674-A86A-5EA4BA120621.png","Thumbnail Image")</f>
      </c>
      <c r="V1533" s="0">
        <f>HYPERLINK("https://ec-qa-storage.kldlms.com/ItemGallery/08DD259C-5157-4DEA-862A-3FE38A3D6EC1/3A5A2090-0677-45A4-8D2B-BDCC2BFC0BD0.png","Gallery Image ")</f>
      </c>
      <c r="W1533" s="0" t="s">
        <v>5211</v>
      </c>
      <c r="X1533" s="0" t="s">
        <v>5229</v>
      </c>
    </row>
    <row r="1534">
      <c r="A1534" s="0" t="s">
        <v>5230</v>
      </c>
      <c r="B1534" s="0" t="s">
        <v>5230</v>
      </c>
      <c r="C1534" s="0" t="s">
        <v>5231</v>
      </c>
      <c r="D1534" s="0" t="s">
        <v>1009</v>
      </c>
      <c r="E1534" s="0" t="s">
        <v>58</v>
      </c>
      <c r="F1534" s="0" t="s">
        <v>29</v>
      </c>
      <c r="G1534" s="0" t="s">
        <v>5230</v>
      </c>
      <c r="H1534" s="0" t="s">
        <v>5230</v>
      </c>
      <c r="I1534" s="0" t="s">
        <v>5232</v>
      </c>
      <c r="J1534" s="0" t="s">
        <v>5232</v>
      </c>
      <c r="K1534" s="0" t="s">
        <v>35</v>
      </c>
      <c r="L1534" s="0" t="s">
        <v>32</v>
      </c>
      <c r="M1534" s="0" t="s">
        <v>61</v>
      </c>
      <c r="N1534" s="0" t="s">
        <v>35</v>
      </c>
      <c r="O1534" s="0" t="s">
        <v>35</v>
      </c>
      <c r="P1534" s="0" t="s">
        <v>4018</v>
      </c>
      <c r="Q1534" s="0" t="s">
        <v>35</v>
      </c>
      <c r="R1534" s="0" t="s">
        <v>5231</v>
      </c>
      <c r="S1534" s="0" t="s">
        <v>35</v>
      </c>
      <c r="T1534" s="0">
        <f>HYPERLINK("https://ec-qa-storage.kldlms.com/ItemVariation/00000000-0000-0000-0000-000000000000/9D0023F1-B09D-44A1-93AE-CFC355506D0E.png","Variant Image")</f>
      </c>
      <c r="U1534" s="0">
        <f>HYPERLINK("https://ec-qa-storage.kldlms.com/Item/08DD25A7-CB68-4C97-8AB0-EC07676F6D3F/56CE6B47-32ED-46DD-BC8F-EA2AA4F97B8A.png","Thumbnail Image")</f>
      </c>
      <c r="V1534" s="0">
        <f>HYPERLINK("https://ec-qa-storage.kldlms.com/ItemGallery/08DD25A7-CB68-4C97-8AB0-EC07676F6D3F/0ADD631D-EBCE-4E99-8645-DE3F149E478C.png","Gallery Image ")</f>
      </c>
      <c r="W1534" s="0" t="s">
        <v>5211</v>
      </c>
      <c r="X1534" s="0" t="s">
        <v>5233</v>
      </c>
    </row>
    <row r="1535">
      <c r="P1535" s="0" t="s">
        <v>4302</v>
      </c>
      <c r="Q1535" s="0" t="s">
        <v>35</v>
      </c>
      <c r="R1535" s="0" t="s">
        <v>5231</v>
      </c>
      <c r="S1535" s="0" t="s">
        <v>35</v>
      </c>
      <c r="T1535" s="0">
        <f>HYPERLINK("https://ec-qa-storage.kldlms.com/ItemVariation/08DD25A7-CB68-4C97-8AB0-EC07676F6D3F/6C91B76D-5C13-4AF1-BCBC-809AC4439EE3.png","Variant Image")</f>
      </c>
      <c r="X1535" s="0" t="s">
        <v>5234</v>
      </c>
    </row>
    <row r="1536">
      <c r="P1536" s="0" t="s">
        <v>3639</v>
      </c>
      <c r="Q1536" s="0" t="s">
        <v>35</v>
      </c>
      <c r="R1536" s="0" t="s">
        <v>5231</v>
      </c>
      <c r="S1536" s="0" t="s">
        <v>35</v>
      </c>
      <c r="T1536" s="0">
        <f>HYPERLINK("https://ec-qa-storage.kldlms.com/ItemVariation/08DD25A7-CB68-4C97-8AB0-EC07676F6D3F/18380457-90B5-40EF-AC56-C934E81CA5D9.png","Variant Image")</f>
      </c>
      <c r="X1536" s="0" t="s">
        <v>5235</v>
      </c>
    </row>
    <row r="1537">
      <c r="A1537" s="0" t="s">
        <v>5236</v>
      </c>
      <c r="B1537" s="0" t="s">
        <v>5237</v>
      </c>
      <c r="C1537" s="0" t="s">
        <v>5238</v>
      </c>
      <c r="D1537" s="0" t="s">
        <v>631</v>
      </c>
      <c r="E1537" s="0" t="s">
        <v>29</v>
      </c>
      <c r="F1537" s="0" t="s">
        <v>29</v>
      </c>
      <c r="G1537" s="0" t="s">
        <v>5237</v>
      </c>
      <c r="H1537" s="0" t="s">
        <v>5237</v>
      </c>
      <c r="I1537" s="0" t="s">
        <v>5239</v>
      </c>
      <c r="J1537" s="0" t="s">
        <v>5239</v>
      </c>
      <c r="K1537" s="0" t="s">
        <v>35</v>
      </c>
      <c r="L1537" s="0" t="s">
        <v>32</v>
      </c>
      <c r="M1537" s="0" t="s">
        <v>61</v>
      </c>
      <c r="N1537" s="0" t="s">
        <v>35</v>
      </c>
      <c r="O1537" s="0" t="s">
        <v>110</v>
      </c>
      <c r="P1537" s="0" t="s">
        <v>4302</v>
      </c>
      <c r="Q1537" s="0" t="s">
        <v>35</v>
      </c>
      <c r="R1537" s="0" t="s">
        <v>5231</v>
      </c>
      <c r="S1537" s="0" t="s">
        <v>35</v>
      </c>
      <c r="T1537" s="0">
        <f>HYPERLINK("https://ec-qa-storage.kldlms.com/ItemVariation/00000000-0000-0000-0000-000000000000/1F143E80-0065-4DA0-99B9-450F4EC7B725.png","Variant Image")</f>
      </c>
      <c r="U1537" s="0">
        <f>HYPERLINK("https://ec-qa-storage.kldlms.com/Item/08DD25A8-8906-431C-822C-5FD65FD8D800/2295DB9D-4C8A-4B01-A2ED-938CB02D7E10.png","Thumbnail Image")</f>
      </c>
      <c r="V1537" s="0">
        <f>HYPERLINK("https://ec-qa-storage.kldlms.com/ItemGallery/08DD25A8-8906-431C-822C-5FD65FD8D800/DA1DFED2-F5EC-4B10-85ED-7BE35C823F18.png","Gallery Image ")</f>
      </c>
      <c r="W1537" s="0" t="s">
        <v>5211</v>
      </c>
      <c r="X1537" s="0" t="s">
        <v>5240</v>
      </c>
    </row>
    <row r="1538">
      <c r="P1538" s="0" t="s">
        <v>3639</v>
      </c>
      <c r="Q1538" s="0" t="s">
        <v>35</v>
      </c>
      <c r="R1538" s="0" t="s">
        <v>5238</v>
      </c>
      <c r="S1538" s="0" t="s">
        <v>35</v>
      </c>
      <c r="T1538" s="0">
        <f>HYPERLINK("https://ec-qa-storage.kldlms.com/ItemVariation/08DD25A8-8906-431C-822C-5FD65FD8D800/0DED28E4-CBC7-49B6-B4C1-3FDA10AC8E2B.png","Variant Image")</f>
      </c>
      <c r="X1538" s="0" t="s">
        <v>5241</v>
      </c>
    </row>
    <row r="1539">
      <c r="A1539" s="0" t="s">
        <v>5242</v>
      </c>
      <c r="B1539" s="0" t="s">
        <v>5243</v>
      </c>
      <c r="C1539" s="0" t="s">
        <v>5244</v>
      </c>
      <c r="D1539" s="0" t="s">
        <v>478</v>
      </c>
      <c r="E1539" s="0" t="s">
        <v>5245</v>
      </c>
      <c r="F1539" s="0" t="s">
        <v>29</v>
      </c>
      <c r="G1539" s="0" t="s">
        <v>5246</v>
      </c>
      <c r="H1539" s="0" t="s">
        <v>5243</v>
      </c>
      <c r="I1539" s="0" t="s">
        <v>5247</v>
      </c>
      <c r="J1539" s="0" t="s">
        <v>5247</v>
      </c>
      <c r="K1539" s="0" t="s">
        <v>35</v>
      </c>
      <c r="L1539" s="0" t="s">
        <v>32</v>
      </c>
      <c r="M1539" s="0" t="s">
        <v>61</v>
      </c>
      <c r="N1539" s="0" t="s">
        <v>32</v>
      </c>
      <c r="O1539" s="0" t="s">
        <v>35</v>
      </c>
      <c r="P1539" s="0" t="s">
        <v>5182</v>
      </c>
      <c r="Q1539" s="0" t="s">
        <v>35</v>
      </c>
      <c r="R1539" s="0" t="s">
        <v>5244</v>
      </c>
      <c r="S1539" s="0" t="s">
        <v>35</v>
      </c>
      <c r="T1539" s="0">
        <f>HYPERLINK("https://ec-qa-storage.kldlms.com/ItemVariation/00000000-0000-0000-0000-000000000000/2D7F3DD0-09C8-4F9F-8939-91EC4EB3445F.png","Variant Image")</f>
      </c>
      <c r="U1539" s="0">
        <f>HYPERLINK("https://ec-qa-storage.kldlms.com/Item/08DD25A9-D0DC-4286-8310-65E46AD309B9/9D2141AF-FD25-44CC-B476-A8231A748B72.png","Thumbnail Image")</f>
      </c>
      <c r="V1539" s="0">
        <f>HYPERLINK("https://ec-qa-storage.kldlms.com/ItemGallery/08DD25A9-D0DC-4286-8310-65E46AD309B9/3AF12236-09CE-41CD-AF58-885DF5AE2213.png","Gallery Image ")</f>
      </c>
      <c r="W1539" s="0" t="s">
        <v>5211</v>
      </c>
      <c r="X1539" s="0" t="s">
        <v>5248</v>
      </c>
    </row>
    <row r="1540">
      <c r="P1540" s="0" t="s">
        <v>4018</v>
      </c>
      <c r="Q1540" s="0" t="s">
        <v>35</v>
      </c>
      <c r="R1540" s="0" t="s">
        <v>5244</v>
      </c>
      <c r="S1540" s="0" t="s">
        <v>32</v>
      </c>
      <c r="T1540" s="0">
        <f>HYPERLINK("https://ec-qa-storage.kldlms.com/ItemVariation/00000000-0000-0000-0000-000000000000/FA44F100-B6CB-4A4C-A022-B6474075050A.png","Variant Image")</f>
      </c>
      <c r="X1540" s="0" t="s">
        <v>5249</v>
      </c>
    </row>
    <row r="1541">
      <c r="P1541" s="0" t="s">
        <v>2735</v>
      </c>
      <c r="Q1541" s="0" t="s">
        <v>35</v>
      </c>
      <c r="R1541" s="0" t="s">
        <v>5244</v>
      </c>
      <c r="S1541" s="0" t="s">
        <v>32</v>
      </c>
      <c r="T1541" s="0">
        <f>HYPERLINK("https://ec-qa-storage.kldlms.com/ItemVariation/08DD25A9-D0DC-4286-8310-65E46AD309B9/AFDD6239-A24E-49E0-8960-C43BE327B0FD.png","Variant Image")</f>
      </c>
      <c r="X1541" s="0" t="s">
        <v>5250</v>
      </c>
    </row>
    <row r="1542">
      <c r="P1542" s="0" t="s">
        <v>134</v>
      </c>
      <c r="Q1542" s="0" t="s">
        <v>35</v>
      </c>
      <c r="R1542" s="0" t="s">
        <v>5244</v>
      </c>
      <c r="S1542" s="0" t="s">
        <v>32</v>
      </c>
      <c r="T1542" s="0">
        <f>HYPERLINK("https://ec-qa-storage.kldlms.com/ItemVariation/08DD25A9-D0DC-4286-8310-65E46AD309B9/DF36A70E-B17B-4013-9140-0283D6A90A15.png","Variant Image")</f>
      </c>
      <c r="X1542" s="0" t="s">
        <v>5251</v>
      </c>
    </row>
    <row r="1543">
      <c r="A1543" s="0" t="s">
        <v>5252</v>
      </c>
      <c r="B1543" s="0" t="s">
        <v>5252</v>
      </c>
      <c r="C1543" s="0" t="s">
        <v>5253</v>
      </c>
      <c r="D1543" s="0" t="s">
        <v>1009</v>
      </c>
      <c r="E1543" s="0" t="s">
        <v>749</v>
      </c>
      <c r="F1543" s="0" t="s">
        <v>750</v>
      </c>
      <c r="G1543" s="0" t="s">
        <v>5246</v>
      </c>
      <c r="H1543" s="0" t="s">
        <v>5243</v>
      </c>
      <c r="I1543" s="0" t="s">
        <v>5247</v>
      </c>
      <c r="J1543" s="0" t="s">
        <v>5247</v>
      </c>
      <c r="K1543" s="0" t="s">
        <v>32</v>
      </c>
      <c r="L1543" s="0" t="s">
        <v>32</v>
      </c>
      <c r="M1543" s="0" t="s">
        <v>61</v>
      </c>
      <c r="N1543" s="0" t="s">
        <v>32</v>
      </c>
      <c r="O1543" s="0" t="s">
        <v>35</v>
      </c>
      <c r="P1543" s="0" t="s">
        <v>5182</v>
      </c>
      <c r="Q1543" s="0" t="s">
        <v>32</v>
      </c>
      <c r="R1543" s="0" t="s">
        <v>5253</v>
      </c>
      <c r="S1543" s="0" t="s">
        <v>32</v>
      </c>
      <c r="T1543" s="0">
        <f>HYPERLINK("https://ec-qa-storage.kldlms.com/ItemVariation/00000000-0000-0000-0000-000000000000/370C4D35-FECE-4B24-B33E-30A464F3593A.png","Variant Image")</f>
      </c>
      <c r="U1543" s="0">
        <f>HYPERLINK("https://ec-qa-storage.kldlms.com/Item/08DD25B0-9822-4D36-870F-2A43D08681DE/56A0CA70-C3CB-4AE3-890C-D9BF87EC8E8F.png","Thumbnail Image")</f>
      </c>
      <c r="V1543" s="0">
        <f>HYPERLINK("https://ec-qa-storage.kldlms.com/ItemGallery/08DD25B0-9822-4D36-870F-2A43D08681DE/955F3ABB-3FA2-41FE-91C1-05DE432A2F57.png","Gallery Image ")</f>
      </c>
      <c r="W1543" s="0" t="s">
        <v>5211</v>
      </c>
      <c r="X1543" s="0" t="s">
        <v>5254</v>
      </c>
    </row>
    <row r="1544">
      <c r="P1544" s="0" t="s">
        <v>4018</v>
      </c>
      <c r="Q1544" s="0" t="s">
        <v>32</v>
      </c>
      <c r="R1544" s="0" t="s">
        <v>5253</v>
      </c>
      <c r="S1544" s="0" t="s">
        <v>32</v>
      </c>
      <c r="T1544" s="0">
        <f>HYPERLINK("https://ec-qa-storage.kldlms.com/ItemVariation/08DD25B0-9822-4D36-870F-2A43D08681DE/AF26044A-F7DF-4050-BB80-44BCC17FD748.webp","Variant Image")</f>
      </c>
      <c r="X1544" s="0" t="s">
        <v>5255</v>
      </c>
    </row>
    <row r="1545">
      <c r="A1545" s="0" t="s">
        <v>5256</v>
      </c>
      <c r="B1545" s="0" t="s">
        <v>5256</v>
      </c>
      <c r="C1545" s="0" t="s">
        <v>5256</v>
      </c>
      <c r="D1545" s="0" t="s">
        <v>5257</v>
      </c>
      <c r="E1545" s="0" t="s">
        <v>3108</v>
      </c>
      <c r="F1545" s="0" t="s">
        <v>2631</v>
      </c>
      <c r="G1545" s="0" t="s">
        <v>5256</v>
      </c>
      <c r="H1545" s="0" t="s">
        <v>5256</v>
      </c>
      <c r="I1545" s="0" t="s">
        <v>5256</v>
      </c>
      <c r="J1545" s="0" t="s">
        <v>5256</v>
      </c>
      <c r="K1545" s="0" t="s">
        <v>218</v>
      </c>
      <c r="L1545" s="0" t="s">
        <v>349</v>
      </c>
      <c r="M1545" s="0" t="s">
        <v>33</v>
      </c>
      <c r="N1545" s="0" t="s">
        <v>3701</v>
      </c>
      <c r="O1545" s="0" t="s">
        <v>110</v>
      </c>
      <c r="P1545" s="0" t="s">
        <v>5258</v>
      </c>
      <c r="Q1545" s="0" t="s">
        <v>772</v>
      </c>
      <c r="R1545" s="0" t="s">
        <v>5259</v>
      </c>
      <c r="S1545" s="0" t="s">
        <v>32</v>
      </c>
      <c r="T1545" s="0">
        <f>HYPERLINK("https://ec-test-storage.kldlms.com/ItemVariation/08DD25B1-9CC3-4920-8DDD-2071B9903FE9/E339EB5D-2F48-4600-A32B-12B9B6BB5620.webp","Variant Image")</f>
      </c>
      <c r="U1545" s="0">
        <f>HYPERLINK("https://ec-qa-storage.kldlms.com/Item/08DD25B1-9CC3-4920-8DDD-2071B9903FE9/A367D965-69F3-4943-A712-886C2E313392.webp","Thumbnail Image")</f>
      </c>
      <c r="V1545" s="0">
        <f>HYPERLINK("https://ec-qa-storage.kldlms.com/ItemGallery/08DD25B1-9CC3-4920-8DDD-2071B9903FE9/4D75833C-2BBE-4F49-A3A0-4BE882B361F2.webp","Gallery Image ")</f>
      </c>
      <c r="W1545" s="0" t="s">
        <v>5211</v>
      </c>
    </row>
    <row r="1546">
      <c r="A1546" s="0" t="s">
        <v>5260</v>
      </c>
      <c r="B1546" s="0" t="s">
        <v>5260</v>
      </c>
      <c r="C1546" s="0" t="s">
        <v>5261</v>
      </c>
      <c r="D1546" s="0" t="s">
        <v>5257</v>
      </c>
      <c r="E1546" s="0" t="s">
        <v>3108</v>
      </c>
      <c r="F1546" s="0" t="s">
        <v>1298</v>
      </c>
      <c r="G1546" s="0" t="s">
        <v>5262</v>
      </c>
      <c r="H1546" s="0" t="s">
        <v>5262</v>
      </c>
      <c r="I1546" s="0" t="s">
        <v>5262</v>
      </c>
      <c r="J1546" s="0" t="s">
        <v>5262</v>
      </c>
      <c r="K1546" s="0" t="s">
        <v>35</v>
      </c>
      <c r="L1546" s="0" t="s">
        <v>32</v>
      </c>
      <c r="M1546" s="0" t="s">
        <v>33</v>
      </c>
      <c r="N1546" s="0" t="s">
        <v>110</v>
      </c>
      <c r="O1546" s="0" t="s">
        <v>35</v>
      </c>
      <c r="P1546" s="0" t="s">
        <v>92</v>
      </c>
      <c r="Q1546" s="0" t="s">
        <v>92</v>
      </c>
      <c r="R1546" s="0" t="s">
        <v>92</v>
      </c>
      <c r="T1546" s="0" t="s">
        <v>92</v>
      </c>
      <c r="U1546" s="0">
        <f>HYPERLINK("https://ec-qa-storage.kldlms.com/Item/08DD25B2-45E2-4489-80B9-558B1DB98A7A/","Thumbnail Image")</f>
      </c>
      <c r="W1546" s="0" t="s">
        <v>5211</v>
      </c>
      <c r="X1546" s="0" t="s">
        <v>92</v>
      </c>
    </row>
    <row r="1547">
      <c r="A1547" s="0" t="s">
        <v>5263</v>
      </c>
      <c r="B1547" s="0" t="s">
        <v>5263</v>
      </c>
      <c r="C1547" s="0" t="s">
        <v>5264</v>
      </c>
      <c r="D1547" s="0" t="s">
        <v>5265</v>
      </c>
      <c r="E1547" s="0" t="s">
        <v>4728</v>
      </c>
      <c r="F1547" s="0" t="s">
        <v>80</v>
      </c>
      <c r="G1547" s="0" t="s">
        <v>5263</v>
      </c>
      <c r="H1547" s="0" t="s">
        <v>5263</v>
      </c>
      <c r="I1547" s="0" t="s">
        <v>5263</v>
      </c>
      <c r="J1547" s="0" t="s">
        <v>5263</v>
      </c>
      <c r="K1547" s="0" t="s">
        <v>5266</v>
      </c>
      <c r="L1547" s="0" t="s">
        <v>5267</v>
      </c>
      <c r="M1547" s="0" t="s">
        <v>61</v>
      </c>
      <c r="N1547" s="0" t="s">
        <v>3948</v>
      </c>
      <c r="O1547" s="0" t="s">
        <v>772</v>
      </c>
      <c r="P1547" s="0" t="s">
        <v>5258</v>
      </c>
      <c r="Q1547" s="0" t="s">
        <v>5268</v>
      </c>
      <c r="R1547" s="0" t="s">
        <v>5269</v>
      </c>
      <c r="S1547" s="0" t="s">
        <v>3658</v>
      </c>
      <c r="T1547" s="0">
        <f>HYPERLINK("https://ec-qa-storage.kldlms.com/ItemVariation/08DD25B7-1835-457F-8CE6-BC19B7DB477D/531911C4-09DE-4546-9F69-3EB5D53616E1.webp","Variant Image")</f>
      </c>
      <c r="U1547" s="0">
        <f>HYPERLINK("https://ec-qa-storage.kldlms.com/Item/08DD25B7-1835-457F-8CE6-BC19B7DB477D/F1C6C849-0DB5-4AFA-973A-17D42D419A8B.webp","Thumbnail Image")</f>
      </c>
      <c r="V1547" s="0">
        <f>HYPERLINK("https://ec-qa-storage.kldlms.com/ItemGallery/08DD25B7-1835-457F-8CE6-BC19B7DB477D/3EE08DF5-64E1-4041-B84C-ECFB0D613A46.webp","Gallery Image ")</f>
      </c>
      <c r="W1547" s="0" t="s">
        <v>5211</v>
      </c>
    </row>
    <row r="1548">
      <c r="A1548" s="0" t="s">
        <v>5270</v>
      </c>
      <c r="B1548" s="0" t="s">
        <v>5270</v>
      </c>
      <c r="C1548" s="0" t="s">
        <v>5271</v>
      </c>
      <c r="D1548" s="0" t="s">
        <v>4946</v>
      </c>
      <c r="E1548" s="0" t="s">
        <v>3108</v>
      </c>
      <c r="F1548" s="0" t="s">
        <v>2631</v>
      </c>
      <c r="G1548" s="0" t="s">
        <v>5270</v>
      </c>
      <c r="H1548" s="0" t="s">
        <v>5270</v>
      </c>
      <c r="I1548" s="0" t="s">
        <v>5270</v>
      </c>
      <c r="J1548" s="0" t="s">
        <v>5270</v>
      </c>
      <c r="K1548" s="0" t="s">
        <v>5272</v>
      </c>
      <c r="L1548" s="0" t="s">
        <v>3658</v>
      </c>
      <c r="M1548" s="0" t="s">
        <v>33</v>
      </c>
      <c r="N1548" s="0" t="s">
        <v>772</v>
      </c>
      <c r="O1548" s="0" t="s">
        <v>772</v>
      </c>
      <c r="P1548" s="0" t="s">
        <v>5258</v>
      </c>
      <c r="Q1548" s="0" t="s">
        <v>110</v>
      </c>
      <c r="R1548" s="0" t="s">
        <v>5273</v>
      </c>
      <c r="S1548" s="0" t="s">
        <v>110</v>
      </c>
      <c r="T1548" s="0">
        <f>HYPERLINK("https://ec-test-storage.kldlms.com/ItemVariation/08DD25B9-CEB7-4377-8B2D-5D2CE6F2A9B1/83C3CB98-C1E8-48C1-850B-DF96AB583DB6.webp","Variant Image")</f>
      </c>
      <c r="U1548" s="0">
        <f>HYPERLINK("https://ec-qa-storage.kldlms.com/Item/08DD25B9-CEB7-4377-8B2D-5D2CE6F2A9B1/9FFE9C4E-1E30-4C03-B2B4-CCDEB0173A34.webp","Thumbnail Image")</f>
      </c>
      <c r="V1548" s="0">
        <f>HYPERLINK("https://ec-qa-storage.kldlms.com/ItemGallery/08DD25B9-CEB7-4377-8B2D-5D2CE6F2A9B1/20B37157-7663-4A14-ACCC-4C2754DF77EF.webp","Gallery Image ")</f>
      </c>
      <c r="W1548" s="0" t="s">
        <v>5211</v>
      </c>
      <c r="X1548" s="0" t="s">
        <v>5274</v>
      </c>
    </row>
    <row r="1549">
      <c r="P1549" s="0" t="s">
        <v>5275</v>
      </c>
      <c r="Q1549" s="0" t="s">
        <v>110</v>
      </c>
      <c r="R1549" s="0" t="s">
        <v>5276</v>
      </c>
      <c r="S1549" s="0" t="s">
        <v>110</v>
      </c>
      <c r="T1549" s="0">
        <f>HYPERLINK("https://ec-test-storage.kldlms.com/ItemVariation/08DD25B9-CEB7-4377-8B2D-5D2CE6F2A9B1/2EB74951-6C95-4E32-9712-CAE4E6B0D8C8.webp","Variant Image")</f>
      </c>
      <c r="X1549" s="0" t="s">
        <v>5277</v>
      </c>
    </row>
    <row r="1550">
      <c r="A1550" s="0" t="s">
        <v>5278</v>
      </c>
      <c r="B1550" s="0" t="s">
        <v>5263</v>
      </c>
      <c r="C1550" s="0" t="s">
        <v>5279</v>
      </c>
      <c r="D1550" s="0" t="s">
        <v>5265</v>
      </c>
      <c r="E1550" s="0" t="s">
        <v>4728</v>
      </c>
      <c r="F1550" s="0" t="s">
        <v>80</v>
      </c>
      <c r="G1550" s="0" t="s">
        <v>5263</v>
      </c>
      <c r="H1550" s="0" t="s">
        <v>5263</v>
      </c>
      <c r="I1550" s="0" t="s">
        <v>5263</v>
      </c>
      <c r="J1550" s="0" t="s">
        <v>5263</v>
      </c>
      <c r="K1550" s="0" t="s">
        <v>5266</v>
      </c>
      <c r="L1550" s="0" t="s">
        <v>5267</v>
      </c>
      <c r="M1550" s="0" t="s">
        <v>61</v>
      </c>
      <c r="N1550" s="0" t="s">
        <v>3948</v>
      </c>
      <c r="O1550" s="0" t="s">
        <v>772</v>
      </c>
      <c r="P1550" s="0" t="s">
        <v>5258</v>
      </c>
      <c r="Q1550" s="0" t="s">
        <v>5268</v>
      </c>
      <c r="R1550" s="0" t="s">
        <v>5280</v>
      </c>
      <c r="S1550" s="0" t="s">
        <v>3658</v>
      </c>
      <c r="T1550" s="0">
        <f>HYPERLINK("https://ec-qa-storage.kldlms.com/ItemVariation/08DD2636-36B9-4780-8B69-1DA84801E957/487A70AD-3D8A-43C2-86F0-FFDD8AD72056.webp","Variant Image")</f>
      </c>
      <c r="U1550" s="0">
        <f>HYPERLINK("https://ec-qa-storage.kldlms.com/Item/08DD2636-36B9-4780-8B69-1DA84801E957/DF68E500-89B0-4DED-9E32-148704AA81BD.webp","Thumbnail Image")</f>
      </c>
      <c r="V1550" s="0">
        <f>HYPERLINK("https://ec-qa-storage.kldlms.com/ItemGallery/08DD2636-36B9-4780-8B69-1DA84801E957/F8035101-D248-4309-8858-39879F0E0FFB.webp","Gallery Image ")</f>
      </c>
      <c r="W1550" s="0" t="s">
        <v>5211</v>
      </c>
    </row>
    <row r="1551">
      <c r="A1551" s="0" t="s">
        <v>2071</v>
      </c>
      <c r="B1551" s="0" t="s">
        <v>2071</v>
      </c>
      <c r="C1551" s="0" t="s">
        <v>320</v>
      </c>
      <c r="D1551" s="0" t="s">
        <v>27</v>
      </c>
      <c r="E1551" s="0" t="s">
        <v>79</v>
      </c>
      <c r="F1551" s="0" t="s">
        <v>80</v>
      </c>
      <c r="G1551" s="0" t="s">
        <v>2071</v>
      </c>
      <c r="H1551" s="0" t="s">
        <v>2071</v>
      </c>
      <c r="I1551" s="0" t="s">
        <v>5281</v>
      </c>
      <c r="J1551" s="0" t="s">
        <v>5281</v>
      </c>
      <c r="K1551" s="0" t="s">
        <v>5282</v>
      </c>
      <c r="L1551" s="0" t="s">
        <v>32</v>
      </c>
      <c r="M1551" s="0" t="s">
        <v>33</v>
      </c>
      <c r="N1551" s="0" t="s">
        <v>5283</v>
      </c>
      <c r="O1551" s="0" t="s">
        <v>35</v>
      </c>
      <c r="P1551" s="0" t="s">
        <v>36</v>
      </c>
      <c r="Q1551" s="0" t="s">
        <v>1232</v>
      </c>
      <c r="R1551" s="0" t="s">
        <v>320</v>
      </c>
      <c r="S1551" s="0" t="s">
        <v>5283</v>
      </c>
      <c r="T1551" s="0">
        <f>HYPERLINK("https://ec-uat-storage.kldlms.com/ItemVariation/79909A4D-9355-4A67-62EB-08DC74B53F94/F22C7C7A-2FBF-4ED1-BC3C-4A370B31B084.jpeg","Variant Image")</f>
      </c>
      <c r="U1551" s="0">
        <f>HYPERLINK("https://ec-qa-storage.kldlms.com/Item/79909A4D-9355-4A67-62EB-08DC74B53F94/CFAF8DA6-D1E6-413F-8851-DF51030071CD.jpg","Thumbnail Image")</f>
      </c>
      <c r="V1551" s="0">
        <f>HYPERLINK("https://ec-qa-storage.kldlms.com/ItemGallery/79909A4D-9355-4A67-62EB-08DC74B53F94/43EBE751-F162-4256-A0CD-4580DF0F77A8.jpg","Gallery Image ")</f>
      </c>
      <c r="W1551" s="0" t="s">
        <v>22</v>
      </c>
      <c r="X1551" s="0" t="s">
        <v>5284</v>
      </c>
    </row>
    <row r="1552">
      <c r="P1552" s="0" t="s">
        <v>39</v>
      </c>
      <c r="Q1552" s="0" t="s">
        <v>5282</v>
      </c>
      <c r="R1552" s="0" t="s">
        <v>320</v>
      </c>
      <c r="S1552" s="0" t="s">
        <v>32</v>
      </c>
      <c r="T1552" s="0">
        <f>HYPERLINK("https://storage.sslt.ae/ItemVariation/79909A4D-9355-4A67-62EB-08DC74B53F94/F5D07F05-48A3-4B0B-8066-B31BA0E7BEAF.jpg","Variant Image")</f>
      </c>
      <c r="X1552" s="0" t="s">
        <v>5284</v>
      </c>
    </row>
  </sheetData>
  <headerFooter/>
</worksheet>
</file>